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6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7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8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9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0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drawings/drawing11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autoCompressPictures="0"/>
  <workbookProtection workbookPassword="FAB7" lockStructure="1"/>
  <bookViews>
    <workbookView xWindow="-915" yWindow="465" windowWidth="21840" windowHeight="9510" tabRatio="864"/>
  </bookViews>
  <sheets>
    <sheet name="Eingabe - Input" sheetId="13" r:id="rId1"/>
    <sheet name="Ausgabe - Output" sheetId="20" r:id="rId2"/>
    <sheet name="Schnittgrößen (g,T)" sheetId="11" state="hidden" r:id="rId3"/>
    <sheet name="Schnittgrößen (gt)" sheetId="14" state="hidden" r:id="rId4"/>
    <sheet name="Schnittgrößen (st)" sheetId="15" state="hidden" r:id="rId5"/>
    <sheet name="eben - flat Schnittgrößen (g,T)" sheetId="29" state="hidden" r:id="rId6"/>
    <sheet name="eben - flat Schnittgrößen (gt)" sheetId="30" state="hidden" r:id="rId7"/>
    <sheet name="eben - flat Schnittgrößen (st)" sheetId="31" state="hidden" r:id="rId8"/>
    <sheet name="Durchbiegung (g+T)" sheetId="12" state="hidden" r:id="rId9"/>
    <sheet name="Durchbiegung (gt)" sheetId="16" state="hidden" r:id="rId10"/>
    <sheet name="Durchbiegung (st)" sheetId="17" state="hidden" r:id="rId11"/>
  </sheets>
  <definedNames>
    <definedName name="_xlnm.Print_Area" localSheetId="1">'Ausgabe - Output'!$A$3:$J$65</definedName>
    <definedName name="_xlnm.Print_Area" localSheetId="8">'Durchbiegung (g+T)'!$A$1:$Z$60</definedName>
    <definedName name="_xlnm.Print_Area" localSheetId="9">'Durchbiegung (gt)'!$A$1:$Z$56</definedName>
    <definedName name="_xlnm.Print_Area" localSheetId="10">'Durchbiegung (st)'!$A$1:$Z$56</definedName>
    <definedName name="_xlnm.Print_Area" localSheetId="0">'Eingabe - Input'!$A$10:$H$66</definedName>
    <definedName name="_xlnm.Print_Area" localSheetId="2">'Schnittgrößen (g,T)'!$A$1:$F$62</definedName>
    <definedName name="_xlnm.Print_Area" localSheetId="3">'Schnittgrößen (gt)'!$A$1:$F$47</definedName>
    <definedName name="_xlnm.Print_Area" localSheetId="4">'Schnittgrößen (st)'!$A$1:$F$47</definedName>
    <definedName name="_xlnm.Print_Titles" localSheetId="1">'Ausgabe - Output'!$1:$2</definedName>
    <definedName name="_xlnm.Print_Titles" localSheetId="0">'Eingabe - Input'!$1:$6</definedName>
    <definedName name="_xlnm.Print_Titles" localSheetId="2">'Schnittgrößen (g,T)'!#REF!</definedName>
    <definedName name="_xlnm.Print_Titles" localSheetId="3">'Schnittgrößen (gt)'!#REF!</definedName>
    <definedName name="_xlnm.Print_Titles" localSheetId="4">'Schnittgrößen (st)'!#REF!</definedName>
  </definedNames>
  <calcPr calcId="145621"/>
</workbook>
</file>

<file path=xl/calcChain.xml><?xml version="1.0" encoding="utf-8"?>
<calcChain xmlns="http://schemas.openxmlformats.org/spreadsheetml/2006/main">
  <c r="O70" i="20" l="1"/>
  <c r="O69" i="20"/>
  <c r="B52" i="13"/>
  <c r="M52" i="13"/>
  <c r="B53" i="13"/>
  <c r="M53" i="13"/>
  <c r="B38" i="13" l="1"/>
  <c r="F37" i="13"/>
  <c r="E41" i="13" l="1"/>
  <c r="D41" i="13"/>
  <c r="B41" i="13"/>
  <c r="E40" i="13"/>
  <c r="D40" i="13"/>
  <c r="B40" i="13"/>
  <c r="B37" i="13"/>
  <c r="B36" i="13"/>
  <c r="B42" i="13"/>
  <c r="M42" i="13"/>
  <c r="C31" i="31" l="1"/>
  <c r="C31" i="30"/>
  <c r="G43" i="13"/>
  <c r="F60" i="13"/>
  <c r="F58" i="13"/>
  <c r="P12" i="13"/>
  <c r="C38" i="29"/>
  <c r="C37" i="29"/>
  <c r="C36" i="30"/>
  <c r="C50" i="30" s="1"/>
  <c r="C36" i="29"/>
  <c r="Q58" i="31"/>
  <c r="L58" i="31"/>
  <c r="Q57" i="31"/>
  <c r="L57" i="31"/>
  <c r="Q56" i="31"/>
  <c r="L56" i="31"/>
  <c r="Q55" i="31"/>
  <c r="L55" i="31"/>
  <c r="D30" i="31"/>
  <c r="C30" i="31"/>
  <c r="D29" i="31"/>
  <c r="C43" i="31" s="1"/>
  <c r="C29" i="31"/>
  <c r="C42" i="31" s="1"/>
  <c r="D28" i="31"/>
  <c r="C28" i="31"/>
  <c r="D27" i="31"/>
  <c r="C27" i="31"/>
  <c r="D25" i="31"/>
  <c r="C25" i="31"/>
  <c r="C21" i="31"/>
  <c r="C20" i="31"/>
  <c r="C19" i="31"/>
  <c r="C18" i="31"/>
  <c r="C15" i="31"/>
  <c r="C11" i="31" s="1"/>
  <c r="O13" i="31"/>
  <c r="J13" i="31"/>
  <c r="O12" i="31"/>
  <c r="J12" i="31"/>
  <c r="O11" i="31"/>
  <c r="J11" i="31"/>
  <c r="O10" i="31"/>
  <c r="J10" i="31"/>
  <c r="O9" i="31"/>
  <c r="J9" i="31"/>
  <c r="O8" i="31"/>
  <c r="J8" i="31"/>
  <c r="O7" i="31"/>
  <c r="J7" i="31"/>
  <c r="Q58" i="30"/>
  <c r="L58" i="30"/>
  <c r="Q57" i="30"/>
  <c r="L57" i="30"/>
  <c r="Q56" i="30"/>
  <c r="L56" i="30"/>
  <c r="Q55" i="30"/>
  <c r="L55" i="30"/>
  <c r="D30" i="30"/>
  <c r="C30" i="30"/>
  <c r="D29" i="30"/>
  <c r="C43" i="30" s="1"/>
  <c r="C29" i="30"/>
  <c r="D28" i="30"/>
  <c r="C28" i="30"/>
  <c r="D27" i="30"/>
  <c r="C27" i="30"/>
  <c r="D25" i="30"/>
  <c r="C25" i="30"/>
  <c r="C21" i="30"/>
  <c r="C20" i="30"/>
  <c r="C19" i="30"/>
  <c r="C18" i="30"/>
  <c r="C15" i="30"/>
  <c r="D34" i="30" s="1"/>
  <c r="O13" i="30"/>
  <c r="J13" i="30"/>
  <c r="O12" i="30"/>
  <c r="J12" i="30"/>
  <c r="O11" i="30"/>
  <c r="J11" i="30"/>
  <c r="O10" i="30"/>
  <c r="J10" i="30"/>
  <c r="O9" i="30"/>
  <c r="J9" i="30"/>
  <c r="O8" i="30"/>
  <c r="J8" i="30"/>
  <c r="O7" i="30"/>
  <c r="J7" i="30"/>
  <c r="D24" i="30" l="1"/>
  <c r="A4" i="31"/>
  <c r="A36" i="31"/>
  <c r="A20" i="30"/>
  <c r="A18" i="30"/>
  <c r="A34" i="30"/>
  <c r="A3" i="30"/>
  <c r="C8" i="30"/>
  <c r="A30" i="30"/>
  <c r="A7" i="30"/>
  <c r="C10" i="30"/>
  <c r="C24" i="30"/>
  <c r="A24" i="30"/>
  <c r="A26" i="30"/>
  <c r="C24" i="31"/>
  <c r="C9" i="31"/>
  <c r="D24" i="31"/>
  <c r="C7" i="31"/>
  <c r="C10" i="31"/>
  <c r="C13" i="31"/>
  <c r="A18" i="31"/>
  <c r="A25" i="31"/>
  <c r="A38" i="31"/>
  <c r="A51" i="31"/>
  <c r="A55" i="31"/>
  <c r="A56" i="31"/>
  <c r="A3" i="31"/>
  <c r="C12" i="31"/>
  <c r="A33" i="31"/>
  <c r="A40" i="31"/>
  <c r="A48" i="31"/>
  <c r="A24" i="31"/>
  <c r="A30" i="31"/>
  <c r="E48" i="31"/>
  <c r="A54" i="31"/>
  <c r="A58" i="31"/>
  <c r="A7" i="31"/>
  <c r="C8" i="31"/>
  <c r="A17" i="31"/>
  <c r="A20" i="31"/>
  <c r="A29" i="31"/>
  <c r="D34" i="31"/>
  <c r="A53" i="31"/>
  <c r="E57" i="31"/>
  <c r="A61" i="31"/>
  <c r="A19" i="31"/>
  <c r="A21" i="31"/>
  <c r="A26" i="31"/>
  <c r="A28" i="31"/>
  <c r="A34" i="31"/>
  <c r="A35" i="31"/>
  <c r="E38" i="31"/>
  <c r="A50" i="31"/>
  <c r="E55" i="31"/>
  <c r="A57" i="31"/>
  <c r="A60" i="31"/>
  <c r="A62" i="31"/>
  <c r="A27" i="31"/>
  <c r="A31" i="31"/>
  <c r="A39" i="31"/>
  <c r="A45" i="31"/>
  <c r="A52" i="31"/>
  <c r="E56" i="31"/>
  <c r="E58" i="31"/>
  <c r="A59" i="31"/>
  <c r="C12" i="30"/>
  <c r="A19" i="30"/>
  <c r="A21" i="30"/>
  <c r="C42" i="30"/>
  <c r="A59" i="30"/>
  <c r="E58" i="30"/>
  <c r="E56" i="30"/>
  <c r="A52" i="30"/>
  <c r="A45" i="30"/>
  <c r="A39" i="30"/>
  <c r="A31" i="30"/>
  <c r="A27" i="30"/>
  <c r="A25" i="30"/>
  <c r="A17" i="30"/>
  <c r="C13" i="30"/>
  <c r="C9" i="30"/>
  <c r="A4" i="30"/>
  <c r="A62" i="30"/>
  <c r="A60" i="30"/>
  <c r="A57" i="30"/>
  <c r="E55" i="30"/>
  <c r="A50" i="30"/>
  <c r="E38" i="30"/>
  <c r="A35" i="30"/>
  <c r="A58" i="30"/>
  <c r="A56" i="30"/>
  <c r="A54" i="30"/>
  <c r="E48" i="30"/>
  <c r="A40" i="30"/>
  <c r="A38" i="30"/>
  <c r="A36" i="30"/>
  <c r="A33" i="30"/>
  <c r="A29" i="30"/>
  <c r="C11" i="30"/>
  <c r="C7" i="30"/>
  <c r="A61" i="30"/>
  <c r="E57" i="30"/>
  <c r="A55" i="30"/>
  <c r="A53" i="30"/>
  <c r="A51" i="30"/>
  <c r="A48" i="30"/>
  <c r="A28" i="30"/>
  <c r="U15" i="13"/>
  <c r="P15" i="13"/>
  <c r="U11" i="13"/>
  <c r="U16" i="13"/>
  <c r="P16" i="13"/>
  <c r="P11" i="13"/>
  <c r="M61" i="13"/>
  <c r="M60" i="13"/>
  <c r="O65" i="20" s="1"/>
  <c r="B26" i="13"/>
  <c r="B29" i="13"/>
  <c r="B24" i="13"/>
  <c r="C15" i="29"/>
  <c r="D94" i="29" s="1"/>
  <c r="C31" i="29"/>
  <c r="C30" i="29"/>
  <c r="D30" i="29"/>
  <c r="D29" i="29"/>
  <c r="C45" i="29" s="1"/>
  <c r="C29" i="29"/>
  <c r="C44" i="29" s="1"/>
  <c r="D27" i="29"/>
  <c r="D28" i="29"/>
  <c r="C28" i="29"/>
  <c r="C27" i="29"/>
  <c r="D25" i="29"/>
  <c r="C25" i="29"/>
  <c r="C19" i="29"/>
  <c r="C20" i="29"/>
  <c r="C21" i="29"/>
  <c r="C18" i="29"/>
  <c r="R75" i="29"/>
  <c r="M75" i="29"/>
  <c r="R74" i="29"/>
  <c r="M74" i="29"/>
  <c r="R73" i="29"/>
  <c r="M73" i="29"/>
  <c r="R72" i="29"/>
  <c r="M72" i="29"/>
  <c r="Q60" i="29"/>
  <c r="L60" i="29"/>
  <c r="Q59" i="29"/>
  <c r="L59" i="29"/>
  <c r="Q58" i="29"/>
  <c r="L58" i="29"/>
  <c r="Q57" i="29"/>
  <c r="L57" i="29"/>
  <c r="C52" i="29"/>
  <c r="O13" i="29"/>
  <c r="J13" i="29"/>
  <c r="O12" i="29"/>
  <c r="J12" i="29"/>
  <c r="O11" i="29"/>
  <c r="J11" i="29"/>
  <c r="O10" i="29"/>
  <c r="J10" i="29"/>
  <c r="O9" i="29"/>
  <c r="J9" i="29"/>
  <c r="O8" i="29"/>
  <c r="J8" i="29"/>
  <c r="O7" i="29"/>
  <c r="J7" i="29"/>
  <c r="C36" i="31" l="1"/>
  <c r="C50" i="31" s="1"/>
  <c r="O66" i="20"/>
  <c r="C39" i="31"/>
  <c r="C40" i="31" s="1"/>
  <c r="C39" i="30"/>
  <c r="C41" i="30" s="1"/>
  <c r="D12" i="13"/>
  <c r="D95" i="29"/>
  <c r="A4" i="29"/>
  <c r="D34" i="29"/>
  <c r="E72" i="29"/>
  <c r="A21" i="29"/>
  <c r="E73" i="29"/>
  <c r="A75" i="29"/>
  <c r="D89" i="29"/>
  <c r="A7" i="29"/>
  <c r="A26" i="29"/>
  <c r="A90" i="29"/>
  <c r="A30" i="29"/>
  <c r="A37" i="29"/>
  <c r="E60" i="29"/>
  <c r="A62" i="29"/>
  <c r="C92" i="29"/>
  <c r="A20" i="29"/>
  <c r="A31" i="29"/>
  <c r="A38" i="29"/>
  <c r="A53" i="29"/>
  <c r="A57" i="29"/>
  <c r="A58" i="29"/>
  <c r="A59" i="29"/>
  <c r="A79" i="29"/>
  <c r="D92" i="29"/>
  <c r="A66" i="29"/>
  <c r="C24" i="29"/>
  <c r="A41" i="29"/>
  <c r="A50" i="29"/>
  <c r="E59" i="29"/>
  <c r="A69" i="29"/>
  <c r="A70" i="29"/>
  <c r="A71" i="29"/>
  <c r="C88" i="29"/>
  <c r="A91" i="29"/>
  <c r="D93" i="29"/>
  <c r="A3" i="29"/>
  <c r="C8" i="29"/>
  <c r="C10" i="29"/>
  <c r="C12" i="29"/>
  <c r="A17" i="29"/>
  <c r="A27" i="29"/>
  <c r="A42" i="29"/>
  <c r="A54" i="29"/>
  <c r="A64" i="29"/>
  <c r="A68" i="29"/>
  <c r="A76" i="29"/>
  <c r="D88" i="29"/>
  <c r="C91" i="29"/>
  <c r="A94" i="29"/>
  <c r="C7" i="29"/>
  <c r="C9" i="29"/>
  <c r="A18" i="29"/>
  <c r="A24" i="29"/>
  <c r="A28" i="29"/>
  <c r="A33" i="29"/>
  <c r="A35" i="29"/>
  <c r="A40" i="29"/>
  <c r="E50" i="29"/>
  <c r="A56" i="29"/>
  <c r="E57" i="29"/>
  <c r="E58" i="29"/>
  <c r="A61" i="29"/>
  <c r="A72" i="29"/>
  <c r="A73" i="29"/>
  <c r="A74" i="29"/>
  <c r="E75" i="29"/>
  <c r="A78" i="29"/>
  <c r="A87" i="29"/>
  <c r="A89" i="29"/>
  <c r="C90" i="29"/>
  <c r="D91" i="29"/>
  <c r="A93" i="29"/>
  <c r="C94" i="29"/>
  <c r="C11" i="29"/>
  <c r="C13" i="29"/>
  <c r="A19" i="29"/>
  <c r="A25" i="29"/>
  <c r="A29" i="29"/>
  <c r="A34" i="29"/>
  <c r="A36" i="29"/>
  <c r="E40" i="29"/>
  <c r="A47" i="29"/>
  <c r="A52" i="29"/>
  <c r="A55" i="29"/>
  <c r="A60" i="29"/>
  <c r="A63" i="29"/>
  <c r="E74" i="29"/>
  <c r="A77" i="29"/>
  <c r="A88" i="29"/>
  <c r="C89" i="29"/>
  <c r="D90" i="29"/>
  <c r="A92" i="29"/>
  <c r="C93" i="29"/>
  <c r="D24" i="29"/>
  <c r="C41" i="31" l="1"/>
  <c r="C40" i="30"/>
  <c r="C44" i="30" s="1"/>
  <c r="C44" i="31"/>
  <c r="C41" i="29"/>
  <c r="C43" i="29" l="1"/>
  <c r="G77" i="29"/>
  <c r="G78" i="29"/>
  <c r="C67" i="29"/>
  <c r="C42" i="29"/>
  <c r="C46" i="29" l="1"/>
  <c r="G79" i="29"/>
  <c r="E58" i="13" l="1"/>
  <c r="R47" i="14" l="1"/>
  <c r="R46" i="14"/>
  <c r="R45" i="14"/>
  <c r="R44" i="14"/>
  <c r="R43" i="14"/>
  <c r="R42" i="14"/>
  <c r="R39" i="14"/>
  <c r="R38" i="14"/>
  <c r="R37" i="14"/>
  <c r="R36" i="14"/>
  <c r="R35" i="14"/>
  <c r="R34" i="14"/>
  <c r="M47" i="14"/>
  <c r="M46" i="14"/>
  <c r="M45" i="14"/>
  <c r="M44" i="14"/>
  <c r="M43" i="14"/>
  <c r="M42" i="14"/>
  <c r="M39" i="14"/>
  <c r="M38" i="14"/>
  <c r="M37" i="14"/>
  <c r="M36" i="14"/>
  <c r="M35" i="14"/>
  <c r="M34" i="14"/>
  <c r="R47" i="15"/>
  <c r="R46" i="15"/>
  <c r="R45" i="15"/>
  <c r="R44" i="15"/>
  <c r="R43" i="15"/>
  <c r="R42" i="15"/>
  <c r="R39" i="15"/>
  <c r="R38" i="15"/>
  <c r="R37" i="15"/>
  <c r="R36" i="15"/>
  <c r="R35" i="15"/>
  <c r="R34" i="15"/>
  <c r="M47" i="15"/>
  <c r="M46" i="15"/>
  <c r="M45" i="15"/>
  <c r="M44" i="15"/>
  <c r="M43" i="15"/>
  <c r="M42" i="15"/>
  <c r="M39" i="15"/>
  <c r="M38" i="15"/>
  <c r="M37" i="15"/>
  <c r="M36" i="15"/>
  <c r="M35" i="15"/>
  <c r="M34" i="15"/>
  <c r="R62" i="11"/>
  <c r="R61" i="11"/>
  <c r="R60" i="11"/>
  <c r="R59" i="11"/>
  <c r="R58" i="11"/>
  <c r="R57" i="11"/>
  <c r="R54" i="11"/>
  <c r="R53" i="11"/>
  <c r="R52" i="11"/>
  <c r="R51" i="11"/>
  <c r="R50" i="11"/>
  <c r="R49" i="11"/>
  <c r="R46" i="11"/>
  <c r="R45" i="11"/>
  <c r="R44" i="11"/>
  <c r="R43" i="11"/>
  <c r="R42" i="11"/>
  <c r="R41" i="11"/>
  <c r="R38" i="11"/>
  <c r="R37" i="11"/>
  <c r="R36" i="11"/>
  <c r="R35" i="11"/>
  <c r="R34" i="11"/>
  <c r="R33" i="11"/>
  <c r="M62" i="11"/>
  <c r="M61" i="11"/>
  <c r="M60" i="11"/>
  <c r="M59" i="11"/>
  <c r="M58" i="11"/>
  <c r="M57" i="11"/>
  <c r="M54" i="11"/>
  <c r="M53" i="11"/>
  <c r="M52" i="11"/>
  <c r="M51" i="11"/>
  <c r="M50" i="11"/>
  <c r="M49" i="11"/>
  <c r="M45" i="11"/>
  <c r="M44" i="11"/>
  <c r="M43" i="11"/>
  <c r="M42" i="11"/>
  <c r="M41" i="11"/>
  <c r="M38" i="11"/>
  <c r="M37" i="11"/>
  <c r="M36" i="11"/>
  <c r="M35" i="11"/>
  <c r="M34" i="11"/>
  <c r="M33" i="11"/>
  <c r="K58" i="13" l="1"/>
  <c r="C8" i="15"/>
  <c r="C8" i="14"/>
  <c r="C7" i="11" l="1"/>
  <c r="B21" i="13" l="1"/>
  <c r="B45" i="13" l="1"/>
  <c r="B44" i="13"/>
  <c r="D16" i="13"/>
  <c r="U14" i="13"/>
  <c r="P14" i="13"/>
  <c r="U13" i="13"/>
  <c r="P13" i="13"/>
  <c r="U12" i="13"/>
  <c r="D13" i="13"/>
  <c r="D11" i="13"/>
  <c r="B11" i="13"/>
  <c r="D14" i="13" l="1"/>
  <c r="D15" i="13"/>
  <c r="B4" i="20" l="1"/>
  <c r="B64" i="13"/>
  <c r="B58" i="13"/>
  <c r="B59" i="13"/>
  <c r="B60" i="13"/>
  <c r="B61" i="13"/>
  <c r="B62" i="13"/>
  <c r="B63" i="13"/>
  <c r="B57" i="13"/>
  <c r="B26" i="20"/>
  <c r="D26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M59" i="13" l="1"/>
  <c r="M62" i="13"/>
  <c r="O67" i="20" s="1"/>
  <c r="M63" i="13"/>
  <c r="O68" i="20" s="1"/>
  <c r="M58" i="13"/>
  <c r="C35" i="30" l="1"/>
  <c r="C35" i="29"/>
  <c r="C35" i="31"/>
  <c r="C34" i="30"/>
  <c r="C34" i="31"/>
  <c r="C34" i="29"/>
  <c r="F51" i="31" l="1"/>
  <c r="F54" i="31"/>
  <c r="F45" i="31"/>
  <c r="F59" i="31" s="1"/>
  <c r="G45" i="31"/>
  <c r="C45" i="31" s="1"/>
  <c r="G54" i="31" s="1"/>
  <c r="F53" i="29"/>
  <c r="F56" i="29"/>
  <c r="G76" i="29"/>
  <c r="G47" i="29"/>
  <c r="F47" i="29"/>
  <c r="F61" i="29" s="1"/>
  <c r="F54" i="30"/>
  <c r="F51" i="30"/>
  <c r="F45" i="30"/>
  <c r="F59" i="30" s="1"/>
  <c r="G45" i="30"/>
  <c r="C45" i="30" s="1"/>
  <c r="G51" i="30" s="1"/>
  <c r="E34" i="29"/>
  <c r="L79" i="29"/>
  <c r="Q77" i="29"/>
  <c r="C73" i="29"/>
  <c r="E32" i="20" s="1"/>
  <c r="C69" i="29"/>
  <c r="Q55" i="29"/>
  <c r="R68" i="29"/>
  <c r="R70" i="29"/>
  <c r="M68" i="29"/>
  <c r="L56" i="29"/>
  <c r="R76" i="29"/>
  <c r="Q64" i="29"/>
  <c r="R71" i="29"/>
  <c r="C54" i="29"/>
  <c r="L61" i="29"/>
  <c r="M70" i="29"/>
  <c r="E70" i="29" s="1"/>
  <c r="L77" i="29"/>
  <c r="M69" i="29"/>
  <c r="Q62" i="29"/>
  <c r="Q61" i="29"/>
  <c r="C70" i="29"/>
  <c r="C58" i="29"/>
  <c r="E47" i="29"/>
  <c r="Q53" i="29"/>
  <c r="Q78" i="29"/>
  <c r="R69" i="29"/>
  <c r="E35" i="29"/>
  <c r="L62" i="29"/>
  <c r="E62" i="29" s="1"/>
  <c r="M71" i="29"/>
  <c r="E71" i="29" s="1"/>
  <c r="C72" i="29"/>
  <c r="E31" i="20" s="1"/>
  <c r="C57" i="29"/>
  <c r="L55" i="29"/>
  <c r="E55" i="29" s="1"/>
  <c r="L64" i="29"/>
  <c r="L54" i="29"/>
  <c r="Q79" i="29"/>
  <c r="Q63" i="29"/>
  <c r="M76" i="29"/>
  <c r="L53" i="29"/>
  <c r="L63" i="29"/>
  <c r="Q56" i="29"/>
  <c r="Q54" i="29"/>
  <c r="C55" i="29"/>
  <c r="L78" i="29"/>
  <c r="E78" i="29" s="1"/>
  <c r="E34" i="31"/>
  <c r="C53" i="31"/>
  <c r="L59" i="31"/>
  <c r="E35" i="31"/>
  <c r="Q51" i="31"/>
  <c r="L60" i="31"/>
  <c r="Q54" i="31"/>
  <c r="Q60" i="31"/>
  <c r="C52" i="31"/>
  <c r="L62" i="31"/>
  <c r="L53" i="31"/>
  <c r="L51" i="31"/>
  <c r="Q61" i="31"/>
  <c r="Q59" i="31"/>
  <c r="L52" i="31"/>
  <c r="C56" i="31"/>
  <c r="Q52" i="31"/>
  <c r="Q62" i="31"/>
  <c r="E45" i="31"/>
  <c r="Q53" i="31"/>
  <c r="L61" i="31"/>
  <c r="E61" i="31" s="1"/>
  <c r="C55" i="31"/>
  <c r="L54" i="31"/>
  <c r="E54" i="31" s="1"/>
  <c r="L62" i="30"/>
  <c r="L61" i="30"/>
  <c r="L52" i="30"/>
  <c r="L59" i="30"/>
  <c r="C52" i="30"/>
  <c r="L54" i="30"/>
  <c r="E35" i="30"/>
  <c r="Q53" i="30"/>
  <c r="Q51" i="30"/>
  <c r="E45" i="30"/>
  <c r="Q52" i="30"/>
  <c r="Q62" i="30"/>
  <c r="Q54" i="30"/>
  <c r="C55" i="30"/>
  <c r="E52" i="20" s="1"/>
  <c r="C56" i="30"/>
  <c r="E53" i="20" s="1"/>
  <c r="L51" i="30"/>
  <c r="Q59" i="30"/>
  <c r="L53" i="30"/>
  <c r="L60" i="30"/>
  <c r="C53" i="30"/>
  <c r="Q61" i="30"/>
  <c r="E34" i="30"/>
  <c r="Q60" i="30"/>
  <c r="E51" i="30" l="1"/>
  <c r="E59" i="30"/>
  <c r="C51" i="30"/>
  <c r="C60" i="30" s="1"/>
  <c r="E51" i="31"/>
  <c r="G59" i="30"/>
  <c r="C59" i="30" s="1"/>
  <c r="G58" i="31"/>
  <c r="C58" i="31" s="1"/>
  <c r="C54" i="31"/>
  <c r="C62" i="31" s="1"/>
  <c r="G57" i="31"/>
  <c r="F57" i="30"/>
  <c r="F62" i="30"/>
  <c r="G61" i="29"/>
  <c r="C61" i="29" s="1"/>
  <c r="C47" i="29"/>
  <c r="G51" i="31"/>
  <c r="C51" i="31" s="1"/>
  <c r="G54" i="30"/>
  <c r="F59" i="29"/>
  <c r="F64" i="29"/>
  <c r="F57" i="31"/>
  <c r="F62" i="31"/>
  <c r="F61" i="30"/>
  <c r="F60" i="30"/>
  <c r="F62" i="29"/>
  <c r="F63" i="29"/>
  <c r="G59" i="31"/>
  <c r="C59" i="31" s="1"/>
  <c r="F60" i="31"/>
  <c r="F61" i="31"/>
  <c r="E52" i="31"/>
  <c r="E59" i="31"/>
  <c r="E60" i="30"/>
  <c r="E52" i="30"/>
  <c r="E53" i="31"/>
  <c r="E63" i="29"/>
  <c r="E61" i="29"/>
  <c r="E24" i="20" s="1"/>
  <c r="E53" i="30"/>
  <c r="E54" i="30"/>
  <c r="E61" i="30"/>
  <c r="E62" i="31"/>
  <c r="E60" i="31"/>
  <c r="E53" i="29"/>
  <c r="E54" i="29"/>
  <c r="E69" i="29"/>
  <c r="E56" i="29"/>
  <c r="E79" i="29"/>
  <c r="E62" i="30"/>
  <c r="E76" i="29"/>
  <c r="E43" i="20" s="1"/>
  <c r="E64" i="29"/>
  <c r="E77" i="29"/>
  <c r="E68" i="29"/>
  <c r="C61" i="30" l="1"/>
  <c r="C57" i="31"/>
  <c r="C60" i="31"/>
  <c r="C61" i="31"/>
  <c r="G53" i="29"/>
  <c r="C53" i="29" s="1"/>
  <c r="G56" i="29"/>
  <c r="G58" i="30"/>
  <c r="C58" i="30" s="1"/>
  <c r="C54" i="30"/>
  <c r="G57" i="30"/>
  <c r="C57" i="30" s="1"/>
  <c r="C62" i="30" l="1"/>
  <c r="G59" i="29"/>
  <c r="C59" i="29" s="1"/>
  <c r="G60" i="29"/>
  <c r="C60" i="29" s="1"/>
  <c r="C56" i="29"/>
  <c r="C63" i="29"/>
  <c r="C62" i="29"/>
  <c r="D67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12" i="12"/>
  <c r="A47" i="11"/>
  <c r="C64" i="29" l="1"/>
  <c r="M64" i="13"/>
  <c r="D37" i="29" l="1"/>
  <c r="C66" i="29" s="1"/>
  <c r="H76" i="29" s="1"/>
  <c r="M13" i="12"/>
  <c r="M32" i="12"/>
  <c r="H71" i="29" l="1"/>
  <c r="H75" i="29" s="1"/>
  <c r="H68" i="29"/>
  <c r="C68" i="29" s="1"/>
  <c r="C78" i="29" s="1"/>
  <c r="F76" i="29"/>
  <c r="C76" i="29" s="1"/>
  <c r="C77" i="29"/>
  <c r="B2" i="20"/>
  <c r="C3" i="14"/>
  <c r="C33" i="15"/>
  <c r="C3" i="15"/>
  <c r="B50" i="13"/>
  <c r="B3" i="20"/>
  <c r="B6" i="20"/>
  <c r="B5" i="13"/>
  <c r="B4" i="13"/>
  <c r="D7" i="20"/>
  <c r="B7" i="20"/>
  <c r="B45" i="20"/>
  <c r="D45" i="20"/>
  <c r="E45" i="20"/>
  <c r="F45" i="20"/>
  <c r="H46" i="20"/>
  <c r="G46" i="20"/>
  <c r="G4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H45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A49" i="11"/>
  <c r="B43" i="13"/>
  <c r="Y32" i="17"/>
  <c r="M32" i="17"/>
  <c r="Y31" i="17"/>
  <c r="M31" i="17"/>
  <c r="Y30" i="17"/>
  <c r="M30" i="17"/>
  <c r="Y29" i="17"/>
  <c r="M29" i="17"/>
  <c r="Y28" i="17"/>
  <c r="M28" i="17"/>
  <c r="Y27" i="17"/>
  <c r="M27" i="17"/>
  <c r="Y26" i="17"/>
  <c r="M26" i="17"/>
  <c r="Y25" i="17"/>
  <c r="M25" i="17"/>
  <c r="Y24" i="17"/>
  <c r="M24" i="17"/>
  <c r="Y23" i="17"/>
  <c r="M23" i="17"/>
  <c r="Y22" i="17"/>
  <c r="M22" i="17"/>
  <c r="Y21" i="17"/>
  <c r="M21" i="17"/>
  <c r="Y20" i="17"/>
  <c r="M20" i="17"/>
  <c r="Y19" i="17"/>
  <c r="M19" i="17"/>
  <c r="Y18" i="17"/>
  <c r="M18" i="17"/>
  <c r="Y17" i="17"/>
  <c r="M17" i="17"/>
  <c r="Y16" i="17"/>
  <c r="M16" i="17"/>
  <c r="Y15" i="17"/>
  <c r="M15" i="17"/>
  <c r="Y14" i="17"/>
  <c r="M14" i="17"/>
  <c r="Y13" i="17"/>
  <c r="M13" i="17"/>
  <c r="Y12" i="17"/>
  <c r="M12" i="17"/>
  <c r="Y32" i="16"/>
  <c r="M32" i="16"/>
  <c r="Y31" i="16"/>
  <c r="M31" i="16"/>
  <c r="Y30" i="16"/>
  <c r="M30" i="16"/>
  <c r="Y29" i="16"/>
  <c r="M29" i="16"/>
  <c r="Y28" i="16"/>
  <c r="M28" i="16"/>
  <c r="Y27" i="16"/>
  <c r="M27" i="16"/>
  <c r="Y26" i="16"/>
  <c r="M26" i="16"/>
  <c r="Y25" i="16"/>
  <c r="M25" i="16"/>
  <c r="Y24" i="16"/>
  <c r="M24" i="16"/>
  <c r="Y23" i="16"/>
  <c r="M23" i="16"/>
  <c r="Y22" i="16"/>
  <c r="M22" i="16"/>
  <c r="Y21" i="16"/>
  <c r="M21" i="16"/>
  <c r="Y20" i="16"/>
  <c r="M20" i="16"/>
  <c r="Y19" i="16"/>
  <c r="M19" i="16"/>
  <c r="Y18" i="16"/>
  <c r="M18" i="16"/>
  <c r="Y17" i="16"/>
  <c r="M17" i="16"/>
  <c r="Y16" i="16"/>
  <c r="M16" i="16"/>
  <c r="Y15" i="16"/>
  <c r="M15" i="16"/>
  <c r="Y14" i="16"/>
  <c r="M14" i="16"/>
  <c r="Y13" i="16"/>
  <c r="M13" i="16"/>
  <c r="Y12" i="16"/>
  <c r="M12" i="16"/>
  <c r="D62" i="15"/>
  <c r="C62" i="15"/>
  <c r="A62" i="15"/>
  <c r="D61" i="15"/>
  <c r="C61" i="15"/>
  <c r="A61" i="15"/>
  <c r="D60" i="15"/>
  <c r="C60" i="15"/>
  <c r="A60" i="15"/>
  <c r="D59" i="15"/>
  <c r="C59" i="15"/>
  <c r="A59" i="15"/>
  <c r="D58" i="15"/>
  <c r="C58" i="15"/>
  <c r="A58" i="15"/>
  <c r="D57" i="15"/>
  <c r="C57" i="15"/>
  <c r="A57" i="15"/>
  <c r="D56" i="15"/>
  <c r="C56" i="15"/>
  <c r="A56" i="15"/>
  <c r="D55" i="15"/>
  <c r="C55" i="15"/>
  <c r="A55" i="15"/>
  <c r="D54" i="15"/>
  <c r="C54" i="15"/>
  <c r="A54" i="15"/>
  <c r="A53" i="15"/>
  <c r="A46" i="15"/>
  <c r="A45" i="15"/>
  <c r="A44" i="15"/>
  <c r="A43" i="15"/>
  <c r="A42" i="15"/>
  <c r="E41" i="15"/>
  <c r="A41" i="15"/>
  <c r="E40" i="15"/>
  <c r="A40" i="15"/>
  <c r="A39" i="15"/>
  <c r="A38" i="15"/>
  <c r="A37" i="15"/>
  <c r="A36" i="15"/>
  <c r="E35" i="15"/>
  <c r="A35" i="15"/>
  <c r="A34" i="15"/>
  <c r="A33" i="15"/>
  <c r="E31" i="15"/>
  <c r="A31" i="15"/>
  <c r="E28" i="15"/>
  <c r="E27" i="15"/>
  <c r="E26" i="15"/>
  <c r="E25" i="15"/>
  <c r="E24" i="15"/>
  <c r="E23" i="15"/>
  <c r="E22" i="15"/>
  <c r="E21" i="15"/>
  <c r="E20" i="15"/>
  <c r="E19" i="15"/>
  <c r="A19" i="15"/>
  <c r="A5" i="15"/>
  <c r="A4" i="15"/>
  <c r="A3" i="15"/>
  <c r="E2" i="15"/>
  <c r="A2" i="15"/>
  <c r="A3" i="14"/>
  <c r="E46" i="14"/>
  <c r="A46" i="14"/>
  <c r="A45" i="14"/>
  <c r="A44" i="14"/>
  <c r="A43" i="14"/>
  <c r="A42" i="14"/>
  <c r="E41" i="14"/>
  <c r="A41" i="14"/>
  <c r="E40" i="14"/>
  <c r="A40" i="14"/>
  <c r="A39" i="14"/>
  <c r="A38" i="14"/>
  <c r="A37" i="14"/>
  <c r="E36" i="14"/>
  <c r="A36" i="14"/>
  <c r="A35" i="14"/>
  <c r="A34" i="14"/>
  <c r="A33" i="14"/>
  <c r="E31" i="14"/>
  <c r="A31" i="14"/>
  <c r="E28" i="14"/>
  <c r="E27" i="14"/>
  <c r="E26" i="14"/>
  <c r="E25" i="14"/>
  <c r="E24" i="14"/>
  <c r="E23" i="14"/>
  <c r="E22" i="14"/>
  <c r="E21" i="14"/>
  <c r="E20" i="14"/>
  <c r="E19" i="14"/>
  <c r="A19" i="14"/>
  <c r="A5" i="14"/>
  <c r="A4" i="14"/>
  <c r="E2" i="14"/>
  <c r="A2" i="14"/>
  <c r="E19" i="11"/>
  <c r="E20" i="11"/>
  <c r="E21" i="11"/>
  <c r="E22" i="11"/>
  <c r="E23" i="11"/>
  <c r="E24" i="11"/>
  <c r="E25" i="11"/>
  <c r="E26" i="11"/>
  <c r="E27" i="11"/>
  <c r="E18" i="11"/>
  <c r="Y3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12" i="12"/>
  <c r="B2" i="13"/>
  <c r="M12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E55" i="11"/>
  <c r="E56" i="11"/>
  <c r="E39" i="11"/>
  <c r="E40" i="11"/>
  <c r="E62" i="11"/>
  <c r="E54" i="11"/>
  <c r="E53" i="11"/>
  <c r="E52" i="11"/>
  <c r="E49" i="11"/>
  <c r="E38" i="11"/>
  <c r="E37" i="11"/>
  <c r="E36" i="11"/>
  <c r="E34" i="11"/>
  <c r="E33" i="11"/>
  <c r="E30" i="11"/>
  <c r="A30" i="11"/>
  <c r="A32" i="11"/>
  <c r="E2" i="11"/>
  <c r="A2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33" i="11"/>
  <c r="A18" i="11"/>
  <c r="A4" i="11"/>
  <c r="A3" i="11"/>
  <c r="B51" i="13"/>
  <c r="B48" i="13"/>
  <c r="B47" i="13"/>
  <c r="L58" i="13"/>
  <c r="B35" i="13"/>
  <c r="B34" i="13"/>
  <c r="B33" i="13"/>
  <c r="B32" i="13"/>
  <c r="B31" i="13"/>
  <c r="D77" i="11"/>
  <c r="D76" i="11"/>
  <c r="D75" i="11"/>
  <c r="D74" i="11"/>
  <c r="D73" i="11"/>
  <c r="D72" i="11"/>
  <c r="D71" i="11"/>
  <c r="D70" i="11"/>
  <c r="D69" i="11"/>
  <c r="C77" i="11"/>
  <c r="C76" i="11"/>
  <c r="C75" i="11"/>
  <c r="C74" i="11"/>
  <c r="C73" i="11"/>
  <c r="C72" i="11"/>
  <c r="C71" i="11"/>
  <c r="C70" i="11"/>
  <c r="C69" i="11"/>
  <c r="A69" i="11"/>
  <c r="A70" i="11"/>
  <c r="A71" i="11"/>
  <c r="A72" i="11"/>
  <c r="A73" i="11"/>
  <c r="A74" i="11"/>
  <c r="A75" i="11"/>
  <c r="A76" i="11"/>
  <c r="A77" i="11"/>
  <c r="A68" i="11"/>
  <c r="C71" i="29" l="1"/>
  <c r="C79" i="29" s="1"/>
  <c r="H74" i="29"/>
  <c r="C74" i="29" s="1"/>
  <c r="C75" i="29"/>
  <c r="M43" i="13"/>
  <c r="C6" i="11" s="1"/>
  <c r="M44" i="13"/>
  <c r="E58" i="11"/>
  <c r="E37" i="14"/>
  <c r="E43" i="14"/>
  <c r="E36" i="15"/>
  <c r="E42" i="15"/>
  <c r="E46" i="15"/>
  <c r="E44" i="11"/>
  <c r="E59" i="11"/>
  <c r="E34" i="14"/>
  <c r="E38" i="14"/>
  <c r="E44" i="14"/>
  <c r="E47" i="14"/>
  <c r="E37" i="15"/>
  <c r="E43" i="15"/>
  <c r="E35" i="11"/>
  <c r="E50" i="11"/>
  <c r="E42" i="11"/>
  <c r="E43" i="11"/>
  <c r="E45" i="14"/>
  <c r="E34" i="15"/>
  <c r="C3" i="11"/>
  <c r="C4" i="15"/>
  <c r="C6" i="15" s="1"/>
  <c r="C4" i="14"/>
  <c r="C6" i="14" s="1"/>
  <c r="F31" i="20"/>
  <c r="E60" i="11"/>
  <c r="E35" i="14"/>
  <c r="E39" i="14"/>
  <c r="E38" i="15"/>
  <c r="E44" i="15"/>
  <c r="E47" i="15"/>
  <c r="E41" i="11"/>
  <c r="E45" i="11"/>
  <c r="E51" i="11"/>
  <c r="E57" i="11"/>
  <c r="E61" i="11"/>
  <c r="E42" i="14"/>
  <c r="E39" i="15"/>
  <c r="E45" i="15"/>
  <c r="C7" i="15" l="1"/>
  <c r="C10" i="15" s="1"/>
  <c r="C7" i="14"/>
  <c r="C9" i="14" s="1"/>
  <c r="C4" i="11"/>
  <c r="C16" i="11" s="1"/>
  <c r="C47" i="11"/>
  <c r="C48" i="11"/>
  <c r="C5" i="11"/>
  <c r="C5" i="14"/>
  <c r="C17" i="14" s="1"/>
  <c r="C18" i="14" s="1"/>
  <c r="C5" i="15"/>
  <c r="C17" i="15" s="1"/>
  <c r="C18" i="15" s="1"/>
  <c r="C9" i="15"/>
  <c r="C11" i="15"/>
  <c r="C11" i="14"/>
  <c r="C10" i="14" l="1"/>
  <c r="C12" i="14" s="1"/>
  <c r="C9" i="11"/>
  <c r="D4" i="12"/>
  <c r="C8" i="11"/>
  <c r="C17" i="11"/>
  <c r="D4" i="16"/>
  <c r="C13" i="15"/>
  <c r="C10" i="11"/>
  <c r="C13" i="14"/>
  <c r="C12" i="11"/>
  <c r="G14" i="14"/>
  <c r="D4" i="17"/>
  <c r="G14" i="15"/>
  <c r="C12" i="15"/>
  <c r="G13" i="11" l="1"/>
  <c r="C11" i="11"/>
  <c r="D5" i="12" s="1"/>
  <c r="H14" i="14"/>
  <c r="C14" i="14" s="1"/>
  <c r="H24" i="14" s="1"/>
  <c r="H14" i="15"/>
  <c r="C14" i="15" s="1"/>
  <c r="H24" i="15" s="1"/>
  <c r="H13" i="11" l="1"/>
  <c r="C13" i="11" s="1"/>
  <c r="C15" i="11" s="1"/>
  <c r="D13" i="12"/>
  <c r="D5" i="17"/>
  <c r="D16" i="17" s="1"/>
  <c r="D5" i="16"/>
  <c r="D16" i="16" s="1"/>
  <c r="H19" i="15"/>
  <c r="H21" i="15" s="1"/>
  <c r="H34" i="15" s="1"/>
  <c r="C24" i="15"/>
  <c r="H25" i="15"/>
  <c r="C25" i="15" s="1"/>
  <c r="C24" i="14"/>
  <c r="H25" i="14"/>
  <c r="C25" i="14" s="1"/>
  <c r="C16" i="14"/>
  <c r="C15" i="14"/>
  <c r="H27" i="14"/>
  <c r="C27" i="14" s="1"/>
  <c r="H28" i="14"/>
  <c r="C28" i="14" s="1"/>
  <c r="C16" i="15"/>
  <c r="C15" i="15"/>
  <c r="H53" i="17" s="1"/>
  <c r="H28" i="15"/>
  <c r="C28" i="15" s="1"/>
  <c r="H27" i="15"/>
  <c r="C27" i="15" s="1"/>
  <c r="H26" i="15"/>
  <c r="C26" i="15" s="1"/>
  <c r="H19" i="14"/>
  <c r="H26" i="14"/>
  <c r="C26" i="14" s="1"/>
  <c r="F54" i="11" l="1"/>
  <c r="F52" i="11"/>
  <c r="G54" i="11"/>
  <c r="C54" i="11" s="1"/>
  <c r="G52" i="11"/>
  <c r="G61" i="11" s="1"/>
  <c r="G53" i="11"/>
  <c r="C53" i="11" s="1"/>
  <c r="F53" i="11"/>
  <c r="H23" i="11"/>
  <c r="H56" i="11" s="1"/>
  <c r="D7" i="17"/>
  <c r="P16" i="17" s="1"/>
  <c r="D10" i="12"/>
  <c r="C14" i="11"/>
  <c r="H18" i="11"/>
  <c r="H19" i="11" s="1"/>
  <c r="C19" i="11" s="1"/>
  <c r="D10" i="17"/>
  <c r="D19" i="17"/>
  <c r="D16" i="12"/>
  <c r="D7" i="12"/>
  <c r="P29" i="12" s="1"/>
  <c r="D13" i="17"/>
  <c r="D19" i="12"/>
  <c r="D7" i="16"/>
  <c r="P17" i="16" s="1"/>
  <c r="D19" i="16"/>
  <c r="D13" i="16"/>
  <c r="D10" i="16"/>
  <c r="C21" i="15"/>
  <c r="C19" i="15"/>
  <c r="H20" i="15"/>
  <c r="H40" i="15" s="1"/>
  <c r="H38" i="15" s="1"/>
  <c r="H47" i="15" s="1"/>
  <c r="H41" i="15"/>
  <c r="H37" i="15" s="1"/>
  <c r="H23" i="15"/>
  <c r="H36" i="15" s="1"/>
  <c r="H45" i="15" s="1"/>
  <c r="H22" i="15"/>
  <c r="C22" i="15" s="1"/>
  <c r="H20" i="14"/>
  <c r="C19" i="14"/>
  <c r="H23" i="14"/>
  <c r="H22" i="14"/>
  <c r="H21" i="14"/>
  <c r="F35" i="15"/>
  <c r="F36" i="15"/>
  <c r="F34" i="15"/>
  <c r="F39" i="15"/>
  <c r="F37" i="15"/>
  <c r="F38" i="15"/>
  <c r="H54" i="17"/>
  <c r="C39" i="15" l="1"/>
  <c r="F53" i="20" s="1"/>
  <c r="D38" i="12"/>
  <c r="I48" i="12" s="1"/>
  <c r="D48" i="12" s="1"/>
  <c r="D34" i="12"/>
  <c r="O12" i="12"/>
  <c r="R12" i="12" s="1"/>
  <c r="P12" i="12"/>
  <c r="S12" i="12" s="1"/>
  <c r="D24" i="17"/>
  <c r="C37" i="15"/>
  <c r="F51" i="20" s="1"/>
  <c r="H52" i="11"/>
  <c r="H61" i="11" s="1"/>
  <c r="H44" i="15"/>
  <c r="C56" i="11"/>
  <c r="H25" i="11"/>
  <c r="H49" i="11" s="1"/>
  <c r="H26" i="11"/>
  <c r="H50" i="11" s="1"/>
  <c r="O24" i="17"/>
  <c r="R24" i="17" s="1"/>
  <c r="O31" i="17"/>
  <c r="U31" i="17" s="1"/>
  <c r="C23" i="11"/>
  <c r="O13" i="17"/>
  <c r="U13" i="17" s="1"/>
  <c r="O30" i="17"/>
  <c r="U30" i="17" s="1"/>
  <c r="D38" i="17"/>
  <c r="I48" i="17" s="1"/>
  <c r="D48" i="17" s="1"/>
  <c r="O27" i="17"/>
  <c r="U27" i="17" s="1"/>
  <c r="O12" i="17"/>
  <c r="U12" i="17" s="1"/>
  <c r="O20" i="17"/>
  <c r="R20" i="17" s="1"/>
  <c r="P24" i="17"/>
  <c r="S24" i="17" s="1"/>
  <c r="O22" i="17"/>
  <c r="U22" i="17" s="1"/>
  <c r="P19" i="17"/>
  <c r="S19" i="17" s="1"/>
  <c r="P27" i="17"/>
  <c r="S27" i="17" s="1"/>
  <c r="P12" i="17"/>
  <c r="S12" i="17" s="1"/>
  <c r="O32" i="17"/>
  <c r="U32" i="17" s="1"/>
  <c r="P21" i="17"/>
  <c r="S21" i="17" s="1"/>
  <c r="O18" i="17"/>
  <c r="R18" i="17" s="1"/>
  <c r="O26" i="17"/>
  <c r="U26" i="17" s="1"/>
  <c r="H24" i="11"/>
  <c r="H55" i="11" s="1"/>
  <c r="H62" i="11" s="1"/>
  <c r="H27" i="11"/>
  <c r="H51" i="11" s="1"/>
  <c r="P17" i="17"/>
  <c r="S17" i="17" s="1"/>
  <c r="P30" i="17"/>
  <c r="S30" i="17" s="1"/>
  <c r="O28" i="17"/>
  <c r="R28" i="17" s="1"/>
  <c r="O19" i="17"/>
  <c r="R19" i="17" s="1"/>
  <c r="P18" i="17"/>
  <c r="S18" i="17" s="1"/>
  <c r="O16" i="17"/>
  <c r="U16" i="17" s="1"/>
  <c r="O17" i="17"/>
  <c r="R17" i="17" s="1"/>
  <c r="O14" i="17"/>
  <c r="U14" i="17" s="1"/>
  <c r="P22" i="17"/>
  <c r="S22" i="17" s="1"/>
  <c r="P31" i="17"/>
  <c r="S31" i="17" s="1"/>
  <c r="D34" i="17"/>
  <c r="O29" i="17"/>
  <c r="U29" i="17" s="1"/>
  <c r="P29" i="17"/>
  <c r="S29" i="17" s="1"/>
  <c r="O15" i="17"/>
  <c r="U15" i="17" s="1"/>
  <c r="D29" i="17"/>
  <c r="I50" i="17" s="1"/>
  <c r="D50" i="17" s="1"/>
  <c r="P23" i="17"/>
  <c r="S23" i="17" s="1"/>
  <c r="S16" i="17"/>
  <c r="P32" i="17"/>
  <c r="S32" i="17" s="1"/>
  <c r="O23" i="17"/>
  <c r="U23" i="17" s="1"/>
  <c r="O21" i="17"/>
  <c r="U21" i="17" s="1"/>
  <c r="P14" i="17"/>
  <c r="S14" i="17" s="1"/>
  <c r="P15" i="17"/>
  <c r="S15" i="17" s="1"/>
  <c r="P20" i="17"/>
  <c r="S20" i="17" s="1"/>
  <c r="P25" i="17"/>
  <c r="S25" i="17" s="1"/>
  <c r="P26" i="17"/>
  <c r="S26" i="17" s="1"/>
  <c r="P28" i="17"/>
  <c r="S28" i="17" s="1"/>
  <c r="P13" i="17"/>
  <c r="S13" i="17" s="1"/>
  <c r="O25" i="17"/>
  <c r="R25" i="17" s="1"/>
  <c r="F55" i="11"/>
  <c r="F51" i="11"/>
  <c r="G51" i="11"/>
  <c r="F50" i="11"/>
  <c r="G50" i="11"/>
  <c r="F49" i="11"/>
  <c r="G49" i="11"/>
  <c r="G55" i="11"/>
  <c r="C34" i="15"/>
  <c r="F48" i="20" s="1"/>
  <c r="F44" i="15"/>
  <c r="F45" i="15"/>
  <c r="H65" i="12"/>
  <c r="H66" i="12" s="1"/>
  <c r="D66" i="12" s="1"/>
  <c r="H58" i="12"/>
  <c r="H59" i="12" s="1"/>
  <c r="F61" i="11"/>
  <c r="H21" i="11"/>
  <c r="C21" i="11" s="1"/>
  <c r="P31" i="12"/>
  <c r="S31" i="12" s="1"/>
  <c r="D24" i="12"/>
  <c r="O22" i="12"/>
  <c r="U22" i="12" s="1"/>
  <c r="C18" i="11"/>
  <c r="P26" i="12"/>
  <c r="S26" i="12" s="1"/>
  <c r="D29" i="12"/>
  <c r="I50" i="12" s="1"/>
  <c r="D50" i="12" s="1"/>
  <c r="H22" i="11"/>
  <c r="C22" i="11" s="1"/>
  <c r="O27" i="12"/>
  <c r="U27" i="12" s="1"/>
  <c r="P17" i="12"/>
  <c r="S17" i="12" s="1"/>
  <c r="P20" i="12"/>
  <c r="S20" i="12" s="1"/>
  <c r="P25" i="12"/>
  <c r="S25" i="12" s="1"/>
  <c r="P15" i="12"/>
  <c r="S15" i="12" s="1"/>
  <c r="O13" i="12"/>
  <c r="R13" i="12" s="1"/>
  <c r="S29" i="12"/>
  <c r="O25" i="12"/>
  <c r="R25" i="12" s="1"/>
  <c r="P32" i="12"/>
  <c r="S32" i="12" s="1"/>
  <c r="O28" i="12"/>
  <c r="R28" i="12" s="1"/>
  <c r="O17" i="12"/>
  <c r="R17" i="12" s="1"/>
  <c r="P13" i="12"/>
  <c r="S13" i="12" s="1"/>
  <c r="O24" i="12"/>
  <c r="U24" i="12" s="1"/>
  <c r="H20" i="11"/>
  <c r="D29" i="16"/>
  <c r="I47" i="16" s="1"/>
  <c r="D47" i="16" s="1"/>
  <c r="P16" i="12"/>
  <c r="S16" i="12" s="1"/>
  <c r="P27" i="12"/>
  <c r="S27" i="12" s="1"/>
  <c r="O18" i="12"/>
  <c r="R18" i="12" s="1"/>
  <c r="O29" i="12"/>
  <c r="R29" i="12" s="1"/>
  <c r="P14" i="12"/>
  <c r="S14" i="12" s="1"/>
  <c r="P28" i="12"/>
  <c r="S28" i="12" s="1"/>
  <c r="O30" i="12"/>
  <c r="R30" i="12" s="1"/>
  <c r="P18" i="12"/>
  <c r="S18" i="12" s="1"/>
  <c r="P24" i="12"/>
  <c r="S24" i="12" s="1"/>
  <c r="P21" i="12"/>
  <c r="S21" i="12" s="1"/>
  <c r="O20" i="12"/>
  <c r="R20" i="12" s="1"/>
  <c r="O26" i="12"/>
  <c r="R26" i="12" s="1"/>
  <c r="O23" i="12"/>
  <c r="R23" i="12" s="1"/>
  <c r="P22" i="12"/>
  <c r="S22" i="12" s="1"/>
  <c r="P19" i="12"/>
  <c r="S19" i="12" s="1"/>
  <c r="O16" i="12"/>
  <c r="R16" i="12" s="1"/>
  <c r="O31" i="12"/>
  <c r="R31" i="12" s="1"/>
  <c r="O21" i="12"/>
  <c r="R21" i="12" s="1"/>
  <c r="O14" i="16"/>
  <c r="U14" i="16" s="1"/>
  <c r="P30" i="12"/>
  <c r="S30" i="12" s="1"/>
  <c r="O19" i="12"/>
  <c r="U19" i="12" s="1"/>
  <c r="P23" i="12"/>
  <c r="S23" i="12" s="1"/>
  <c r="O15" i="12"/>
  <c r="R15" i="12" s="1"/>
  <c r="O32" i="12"/>
  <c r="U32" i="12" s="1"/>
  <c r="O14" i="12"/>
  <c r="U14" i="12" s="1"/>
  <c r="P18" i="16"/>
  <c r="S18" i="16" s="1"/>
  <c r="P14" i="16"/>
  <c r="S14" i="16" s="1"/>
  <c r="P27" i="16"/>
  <c r="S27" i="16" s="1"/>
  <c r="P22" i="16"/>
  <c r="S22" i="16" s="1"/>
  <c r="P16" i="16"/>
  <c r="S16" i="16" s="1"/>
  <c r="D34" i="16"/>
  <c r="O16" i="16"/>
  <c r="U16" i="16" s="1"/>
  <c r="O29" i="16"/>
  <c r="R29" i="16" s="1"/>
  <c r="D24" i="16"/>
  <c r="O22" i="16"/>
  <c r="R22" i="16" s="1"/>
  <c r="P25" i="16"/>
  <c r="S25" i="16" s="1"/>
  <c r="O12" i="16"/>
  <c r="U12" i="16" s="1"/>
  <c r="O23" i="16"/>
  <c r="U23" i="16" s="1"/>
  <c r="O15" i="16"/>
  <c r="U15" i="16" s="1"/>
  <c r="P19" i="16"/>
  <c r="S19" i="16" s="1"/>
  <c r="O26" i="16"/>
  <c r="U26" i="16" s="1"/>
  <c r="P20" i="16"/>
  <c r="S20" i="16" s="1"/>
  <c r="P13" i="16"/>
  <c r="S13" i="16" s="1"/>
  <c r="P30" i="16"/>
  <c r="S30" i="16" s="1"/>
  <c r="P29" i="16"/>
  <c r="S29" i="16" s="1"/>
  <c r="P21" i="16"/>
  <c r="S21" i="16" s="1"/>
  <c r="O21" i="16"/>
  <c r="U21" i="16" s="1"/>
  <c r="P26" i="16"/>
  <c r="S26" i="16" s="1"/>
  <c r="O27" i="16"/>
  <c r="R27" i="16" s="1"/>
  <c r="D38" i="16"/>
  <c r="I48" i="16" s="1"/>
  <c r="D48" i="16" s="1"/>
  <c r="O25" i="16"/>
  <c r="U25" i="16" s="1"/>
  <c r="O30" i="16"/>
  <c r="U30" i="16" s="1"/>
  <c r="O18" i="16"/>
  <c r="U18" i="16" s="1"/>
  <c r="O19" i="16"/>
  <c r="U19" i="16" s="1"/>
  <c r="O20" i="16"/>
  <c r="U20" i="16" s="1"/>
  <c r="O28" i="16"/>
  <c r="U28" i="16" s="1"/>
  <c r="P28" i="16"/>
  <c r="S28" i="16" s="1"/>
  <c r="S17" i="16"/>
  <c r="O13" i="16"/>
  <c r="R13" i="16" s="1"/>
  <c r="P32" i="16"/>
  <c r="S32" i="16" s="1"/>
  <c r="O24" i="16"/>
  <c r="U24" i="16" s="1"/>
  <c r="P24" i="16"/>
  <c r="S24" i="16" s="1"/>
  <c r="P15" i="16"/>
  <c r="S15" i="16" s="1"/>
  <c r="P12" i="16"/>
  <c r="S12" i="16" s="1"/>
  <c r="O17" i="16"/>
  <c r="U17" i="16" s="1"/>
  <c r="O32" i="16"/>
  <c r="U32" i="16" s="1"/>
  <c r="P31" i="16"/>
  <c r="S31" i="16" s="1"/>
  <c r="O31" i="16"/>
  <c r="U31" i="16" s="1"/>
  <c r="P23" i="16"/>
  <c r="S23" i="16" s="1"/>
  <c r="H35" i="15"/>
  <c r="H43" i="15" s="1"/>
  <c r="C20" i="15"/>
  <c r="C41" i="15"/>
  <c r="F55" i="20" s="1"/>
  <c r="C23" i="15"/>
  <c r="C36" i="15"/>
  <c r="F50" i="20" s="1"/>
  <c r="C38" i="15"/>
  <c r="F52" i="20" s="1"/>
  <c r="G31" i="20"/>
  <c r="G32" i="20"/>
  <c r="F32" i="20"/>
  <c r="C23" i="14"/>
  <c r="H46" i="15"/>
  <c r="F46" i="15"/>
  <c r="C21" i="14"/>
  <c r="C20" i="14"/>
  <c r="F40" i="15"/>
  <c r="F42" i="15"/>
  <c r="F43" i="15"/>
  <c r="C22" i="14"/>
  <c r="E34" i="20" l="1"/>
  <c r="C20" i="11"/>
  <c r="U18" i="17"/>
  <c r="U12" i="12"/>
  <c r="I49" i="17"/>
  <c r="D49" i="17" s="1"/>
  <c r="C50" i="11"/>
  <c r="C52" i="11"/>
  <c r="C51" i="11"/>
  <c r="C26" i="11"/>
  <c r="R31" i="17"/>
  <c r="H60" i="11"/>
  <c r="U24" i="17"/>
  <c r="H58" i="11"/>
  <c r="H59" i="11"/>
  <c r="C25" i="11"/>
  <c r="R30" i="17"/>
  <c r="U20" i="17"/>
  <c r="C49" i="11"/>
  <c r="E27" i="20" s="1"/>
  <c r="H57" i="11"/>
  <c r="R27" i="17"/>
  <c r="R16" i="17"/>
  <c r="R26" i="17"/>
  <c r="R12" i="17"/>
  <c r="R13" i="17"/>
  <c r="R32" i="17"/>
  <c r="C55" i="11"/>
  <c r="C24" i="11"/>
  <c r="R22" i="17"/>
  <c r="U28" i="17"/>
  <c r="R15" i="17"/>
  <c r="I50" i="16"/>
  <c r="D50" i="16" s="1"/>
  <c r="C27" i="11"/>
  <c r="R21" i="17"/>
  <c r="U19" i="17"/>
  <c r="R29" i="17"/>
  <c r="U17" i="17"/>
  <c r="I47" i="17"/>
  <c r="D47" i="17" s="1"/>
  <c r="R14" i="17"/>
  <c r="R23" i="17"/>
  <c r="I46" i="17"/>
  <c r="D46" i="17" s="1"/>
  <c r="U25" i="17"/>
  <c r="R27" i="12"/>
  <c r="F58" i="11"/>
  <c r="F57" i="11"/>
  <c r="C45" i="15"/>
  <c r="F59" i="20" s="1"/>
  <c r="C44" i="15"/>
  <c r="F58" i="20" s="1"/>
  <c r="R17" i="16"/>
  <c r="F60" i="11"/>
  <c r="F59" i="11"/>
  <c r="G58" i="11"/>
  <c r="G60" i="11"/>
  <c r="G57" i="11"/>
  <c r="G59" i="11"/>
  <c r="U26" i="12"/>
  <c r="R32" i="12"/>
  <c r="U30" i="12"/>
  <c r="U25" i="12"/>
  <c r="D65" i="12"/>
  <c r="U18" i="12"/>
  <c r="U16" i="12"/>
  <c r="R26" i="16"/>
  <c r="U29" i="16"/>
  <c r="U31" i="12"/>
  <c r="I49" i="16"/>
  <c r="D49" i="16" s="1"/>
  <c r="I47" i="12"/>
  <c r="D47" i="12" s="1"/>
  <c r="U29" i="12"/>
  <c r="R19" i="12"/>
  <c r="U17" i="12"/>
  <c r="I46" i="12"/>
  <c r="D46" i="12" s="1"/>
  <c r="R22" i="12"/>
  <c r="U28" i="12"/>
  <c r="U13" i="12"/>
  <c r="U23" i="12"/>
  <c r="R24" i="12"/>
  <c r="R14" i="12"/>
  <c r="I49" i="12"/>
  <c r="D49" i="12" s="1"/>
  <c r="U15" i="12"/>
  <c r="U20" i="12"/>
  <c r="R16" i="16"/>
  <c r="R25" i="16"/>
  <c r="U21" i="12"/>
  <c r="R14" i="16"/>
  <c r="R15" i="16"/>
  <c r="U13" i="16"/>
  <c r="R28" i="16"/>
  <c r="R21" i="16"/>
  <c r="R20" i="16"/>
  <c r="I46" i="16"/>
  <c r="D46" i="16" s="1"/>
  <c r="R31" i="16"/>
  <c r="U22" i="16"/>
  <c r="R30" i="16"/>
  <c r="U27" i="16"/>
  <c r="R23" i="16"/>
  <c r="R18" i="16"/>
  <c r="R12" i="16"/>
  <c r="R19" i="16"/>
  <c r="R32" i="16"/>
  <c r="R24" i="16"/>
  <c r="C35" i="15"/>
  <c r="F49" i="20" s="1"/>
  <c r="H42" i="15"/>
  <c r="C40" i="15"/>
  <c r="F54" i="20" s="1"/>
  <c r="C46" i="15"/>
  <c r="F60" i="20" s="1"/>
  <c r="X31" i="17" l="1"/>
  <c r="X19" i="17"/>
  <c r="E33" i="20"/>
  <c r="F33" i="20" s="1"/>
  <c r="E29" i="20"/>
  <c r="F29" i="20" s="1"/>
  <c r="G34" i="20"/>
  <c r="F34" i="20"/>
  <c r="C61" i="11"/>
  <c r="E30" i="20"/>
  <c r="G30" i="20" s="1"/>
  <c r="E28" i="20"/>
  <c r="F28" i="20" s="1"/>
  <c r="X24" i="17"/>
  <c r="X12" i="17"/>
  <c r="X29" i="17"/>
  <c r="X18" i="17"/>
  <c r="X30" i="17"/>
  <c r="X23" i="17"/>
  <c r="X32" i="17"/>
  <c r="X14" i="17"/>
  <c r="X26" i="17"/>
  <c r="X27" i="17"/>
  <c r="X22" i="17"/>
  <c r="X16" i="17"/>
  <c r="X15" i="17"/>
  <c r="X17" i="17"/>
  <c r="X21" i="17"/>
  <c r="X13" i="17"/>
  <c r="X25" i="17"/>
  <c r="X28" i="17"/>
  <c r="X20" i="17"/>
  <c r="W13" i="17"/>
  <c r="W13" i="12"/>
  <c r="C58" i="11"/>
  <c r="C57" i="11"/>
  <c r="C59" i="11"/>
  <c r="C60" i="11"/>
  <c r="F27" i="20"/>
  <c r="W18" i="17"/>
  <c r="X21" i="16"/>
  <c r="W17" i="17"/>
  <c r="W31" i="17"/>
  <c r="W15" i="17"/>
  <c r="W24" i="17"/>
  <c r="W14" i="17"/>
  <c r="W28" i="17"/>
  <c r="W22" i="17"/>
  <c r="W26" i="17"/>
  <c r="W21" i="17"/>
  <c r="I53" i="17"/>
  <c r="D53" i="17" s="1"/>
  <c r="F62" i="20" s="1"/>
  <c r="W20" i="17"/>
  <c r="W32" i="17"/>
  <c r="W27" i="17"/>
  <c r="W30" i="17"/>
  <c r="W29" i="17"/>
  <c r="W19" i="17"/>
  <c r="W25" i="17"/>
  <c r="W16" i="17"/>
  <c r="W23" i="17"/>
  <c r="Z17" i="12"/>
  <c r="X16" i="16"/>
  <c r="X32" i="16"/>
  <c r="X18" i="16"/>
  <c r="X22" i="16"/>
  <c r="X25" i="16"/>
  <c r="X24" i="16"/>
  <c r="X19" i="16"/>
  <c r="X14" i="16"/>
  <c r="Z23" i="12"/>
  <c r="X29" i="16"/>
  <c r="X30" i="16"/>
  <c r="X15" i="16"/>
  <c r="X31" i="16"/>
  <c r="X26" i="16"/>
  <c r="X20" i="16"/>
  <c r="X27" i="16"/>
  <c r="X13" i="16"/>
  <c r="X13" i="12"/>
  <c r="X23" i="16"/>
  <c r="X28" i="16"/>
  <c r="X17" i="16"/>
  <c r="X12" i="16"/>
  <c r="X14" i="12"/>
  <c r="Z26" i="12"/>
  <c r="X22" i="12"/>
  <c r="Z29" i="12"/>
  <c r="Z24" i="12"/>
  <c r="Z28" i="12"/>
  <c r="X28" i="12"/>
  <c r="X23" i="12"/>
  <c r="X18" i="12"/>
  <c r="X29" i="12"/>
  <c r="X12" i="12"/>
  <c r="Z31" i="12"/>
  <c r="X26" i="12"/>
  <c r="Z18" i="12"/>
  <c r="X16" i="12"/>
  <c r="X24" i="12"/>
  <c r="X30" i="12"/>
  <c r="Z14" i="12"/>
  <c r="Z19" i="12"/>
  <c r="X32" i="12"/>
  <c r="Z32" i="12"/>
  <c r="X31" i="12"/>
  <c r="X19" i="12"/>
  <c r="Z13" i="12"/>
  <c r="X27" i="12"/>
  <c r="X20" i="12"/>
  <c r="X17" i="12"/>
  <c r="Z12" i="12"/>
  <c r="Z25" i="12"/>
  <c r="I58" i="12"/>
  <c r="D58" i="12" s="1"/>
  <c r="E42" i="20" s="1"/>
  <c r="Z22" i="12"/>
  <c r="X25" i="12"/>
  <c r="Z27" i="12"/>
  <c r="Z16" i="12"/>
  <c r="Z30" i="12"/>
  <c r="X21" i="12"/>
  <c r="X15" i="12"/>
  <c r="Z20" i="12"/>
  <c r="Z15" i="12"/>
  <c r="Z21" i="12"/>
  <c r="C43" i="15"/>
  <c r="F57" i="20" s="1"/>
  <c r="C42" i="15"/>
  <c r="F56" i="20" s="1"/>
  <c r="G29" i="20" l="1"/>
  <c r="G42" i="20"/>
  <c r="F42" i="20"/>
  <c r="G33" i="20"/>
  <c r="E35" i="20"/>
  <c r="G35" i="20" s="1"/>
  <c r="E38" i="20"/>
  <c r="E36" i="20"/>
  <c r="G28" i="20"/>
  <c r="E39" i="20"/>
  <c r="F39" i="20" s="1"/>
  <c r="E37" i="20"/>
  <c r="F37" i="20" s="1"/>
  <c r="X39" i="17"/>
  <c r="X38" i="17"/>
  <c r="X37" i="17"/>
  <c r="X36" i="17"/>
  <c r="F30" i="20"/>
  <c r="G27" i="20"/>
  <c r="X37" i="16"/>
  <c r="X38" i="16"/>
  <c r="X36" i="16"/>
  <c r="X39" i="16"/>
  <c r="Z39" i="12"/>
  <c r="X38" i="12"/>
  <c r="X37" i="12"/>
  <c r="X36" i="12"/>
  <c r="X39" i="12"/>
  <c r="Z37" i="12"/>
  <c r="Z36" i="12"/>
  <c r="Z38" i="12"/>
  <c r="F35" i="20" l="1"/>
  <c r="G36" i="20"/>
  <c r="G38" i="20"/>
  <c r="F36" i="20"/>
  <c r="F38" i="20"/>
  <c r="G37" i="20"/>
  <c r="G39" i="20"/>
  <c r="I59" i="12"/>
  <c r="D59" i="12" s="1"/>
  <c r="I60" i="12"/>
  <c r="D60" i="12" s="1"/>
  <c r="G41" i="20" s="1"/>
  <c r="F41" i="20" l="1"/>
  <c r="E41" i="20"/>
  <c r="E40" i="20"/>
  <c r="G40" i="20" s="1"/>
  <c r="F40" i="20" l="1"/>
  <c r="W14" i="12"/>
  <c r="I53" i="16" l="1"/>
  <c r="W29" i="12"/>
  <c r="C33" i="14"/>
  <c r="W12" i="17"/>
  <c r="W36" i="17" s="1"/>
  <c r="W30" i="12"/>
  <c r="W12" i="12"/>
  <c r="W22" i="16"/>
  <c r="W27" i="12"/>
  <c r="W25" i="12"/>
  <c r="C32" i="11"/>
  <c r="H33" i="11" s="1"/>
  <c r="W29" i="16"/>
  <c r="W17" i="12"/>
  <c r="W32" i="12"/>
  <c r="W24" i="16"/>
  <c r="W15" i="12"/>
  <c r="W24" i="12"/>
  <c r="W16" i="12"/>
  <c r="W28" i="12"/>
  <c r="W30" i="16"/>
  <c r="W26" i="12"/>
  <c r="W17" i="16"/>
  <c r="W23" i="12"/>
  <c r="W16" i="16"/>
  <c r="W31" i="16"/>
  <c r="W15" i="16"/>
  <c r="W19" i="16"/>
  <c r="W20" i="16"/>
  <c r="W21" i="12"/>
  <c r="W18" i="16"/>
  <c r="W22" i="12"/>
  <c r="W26" i="16"/>
  <c r="W13" i="16"/>
  <c r="W28" i="16"/>
  <c r="W14" i="16"/>
  <c r="W31" i="12"/>
  <c r="W18" i="12"/>
  <c r="W12" i="16"/>
  <c r="I53" i="12"/>
  <c r="W23" i="16"/>
  <c r="W25" i="16"/>
  <c r="W21" i="16"/>
  <c r="W19" i="12"/>
  <c r="W20" i="12"/>
  <c r="W27" i="16"/>
  <c r="W32" i="16"/>
  <c r="F33" i="11" l="1"/>
  <c r="F34" i="11"/>
  <c r="H53" i="16"/>
  <c r="F34" i="14"/>
  <c r="F36" i="14"/>
  <c r="F38" i="14"/>
  <c r="F39" i="14"/>
  <c r="F35" i="14"/>
  <c r="F37" i="14"/>
  <c r="H41" i="14"/>
  <c r="H37" i="14" s="1"/>
  <c r="H34" i="14"/>
  <c r="H35" i="14"/>
  <c r="H36" i="14"/>
  <c r="H40" i="14"/>
  <c r="H38" i="14" s="1"/>
  <c r="H47" i="14" s="1"/>
  <c r="H53" i="12"/>
  <c r="F35" i="11"/>
  <c r="F38" i="11"/>
  <c r="F37" i="11"/>
  <c r="H35" i="11"/>
  <c r="F36" i="11"/>
  <c r="H39" i="11"/>
  <c r="H37" i="11" s="1"/>
  <c r="H34" i="11"/>
  <c r="H40" i="11"/>
  <c r="W38" i="12"/>
  <c r="W38" i="17"/>
  <c r="W37" i="17"/>
  <c r="I54" i="17" s="1"/>
  <c r="W39" i="17"/>
  <c r="W36" i="12"/>
  <c r="W37" i="16"/>
  <c r="W39" i="16"/>
  <c r="W38" i="16"/>
  <c r="W36" i="16"/>
  <c r="W39" i="12"/>
  <c r="W37" i="12"/>
  <c r="F45" i="11" l="1"/>
  <c r="C38" i="11"/>
  <c r="F46" i="14"/>
  <c r="D53" i="16"/>
  <c r="E62" i="20" s="1"/>
  <c r="C35" i="11"/>
  <c r="N10" i="20" s="1"/>
  <c r="F10" i="20" s="1"/>
  <c r="H50" i="20" s="1"/>
  <c r="H54" i="16"/>
  <c r="I54" i="16"/>
  <c r="I55" i="16"/>
  <c r="D55" i="16" s="1"/>
  <c r="I54" i="12"/>
  <c r="I55" i="12"/>
  <c r="D55" i="12" s="1"/>
  <c r="D54" i="17"/>
  <c r="F61" i="20" s="1"/>
  <c r="I55" i="17"/>
  <c r="D55" i="17" s="1"/>
  <c r="C37" i="11"/>
  <c r="H46" i="14"/>
  <c r="C37" i="14"/>
  <c r="E51" i="20" s="1"/>
  <c r="F42" i="14"/>
  <c r="F43" i="14"/>
  <c r="F44" i="14"/>
  <c r="F45" i="14"/>
  <c r="H43" i="14"/>
  <c r="H44" i="14"/>
  <c r="H42" i="14"/>
  <c r="H45" i="14"/>
  <c r="F40" i="14"/>
  <c r="C40" i="11"/>
  <c r="H36" i="11"/>
  <c r="H46" i="11"/>
  <c r="C39" i="14"/>
  <c r="C34" i="11"/>
  <c r="N9" i="20" s="1"/>
  <c r="H41" i="11"/>
  <c r="H43" i="11"/>
  <c r="H44" i="11"/>
  <c r="H42" i="11"/>
  <c r="C38" i="14"/>
  <c r="F41" i="11"/>
  <c r="F43" i="11"/>
  <c r="F42" i="11"/>
  <c r="F44" i="11"/>
  <c r="D53" i="12"/>
  <c r="N23" i="20" s="1"/>
  <c r="H54" i="12"/>
  <c r="F39" i="11"/>
  <c r="C33" i="11"/>
  <c r="C35" i="14"/>
  <c r="E49" i="20" s="1"/>
  <c r="C36" i="14"/>
  <c r="E50" i="20" s="1"/>
  <c r="C41" i="14"/>
  <c r="E55" i="20" s="1"/>
  <c r="C34" i="14"/>
  <c r="E48" i="20" s="1"/>
  <c r="G22" i="20" l="1"/>
  <c r="F22" i="20"/>
  <c r="E22" i="20"/>
  <c r="H22" i="20"/>
  <c r="M46" i="11"/>
  <c r="E46" i="11" s="1"/>
  <c r="N13" i="20"/>
  <c r="F13" i="20" s="1"/>
  <c r="H53" i="20" s="1"/>
  <c r="C43" i="11"/>
  <c r="N18" i="20" s="1"/>
  <c r="E18" i="20" s="1"/>
  <c r="N8" i="20"/>
  <c r="H23" i="20"/>
  <c r="G23" i="20"/>
  <c r="E23" i="20"/>
  <c r="G62" i="20" s="1"/>
  <c r="F23" i="20"/>
  <c r="H62" i="20" s="1"/>
  <c r="N15" i="20"/>
  <c r="E15" i="20" s="1"/>
  <c r="N12" i="20"/>
  <c r="D54" i="16"/>
  <c r="E61" i="20" s="1"/>
  <c r="H45" i="11"/>
  <c r="C36" i="11"/>
  <c r="N11" i="20" s="1"/>
  <c r="G10" i="20"/>
  <c r="F9" i="20"/>
  <c r="H49" i="20" s="1"/>
  <c r="E9" i="20"/>
  <c r="G49" i="20" s="1"/>
  <c r="H10" i="20"/>
  <c r="E10" i="20"/>
  <c r="G50" i="20" s="1"/>
  <c r="G9" i="20"/>
  <c r="H9" i="20"/>
  <c r="D54" i="12"/>
  <c r="C44" i="14"/>
  <c r="E58" i="20" s="1"/>
  <c r="C45" i="14"/>
  <c r="E59" i="20" s="1"/>
  <c r="C39" i="11"/>
  <c r="N14" i="20" s="1"/>
  <c r="C42" i="11"/>
  <c r="N17" i="20" s="1"/>
  <c r="G17" i="20" s="1"/>
  <c r="C41" i="11"/>
  <c r="C44" i="11"/>
  <c r="N19" i="20" s="1"/>
  <c r="C42" i="14"/>
  <c r="E56" i="20" s="1"/>
  <c r="C40" i="14"/>
  <c r="E54" i="20" s="1"/>
  <c r="C43" i="14"/>
  <c r="E57" i="20" s="1"/>
  <c r="F12" i="20" l="1"/>
  <c r="H52" i="20" s="1"/>
  <c r="G12" i="20"/>
  <c r="H12" i="20"/>
  <c r="E12" i="20"/>
  <c r="G52" i="20" s="1"/>
  <c r="G13" i="20"/>
  <c r="H13" i="20"/>
  <c r="E13" i="20"/>
  <c r="G53" i="20" s="1"/>
  <c r="H15" i="20"/>
  <c r="F15" i="20"/>
  <c r="H55" i="20" s="1"/>
  <c r="G15" i="20"/>
  <c r="G55" i="20"/>
  <c r="N16" i="20"/>
  <c r="E16" i="20" s="1"/>
  <c r="N21" i="20"/>
  <c r="H21" i="20" s="1"/>
  <c r="H11" i="20"/>
  <c r="G58" i="20"/>
  <c r="F14" i="20"/>
  <c r="E14" i="20"/>
  <c r="F19" i="20"/>
  <c r="E19" i="20"/>
  <c r="E8" i="20"/>
  <c r="G48" i="20" s="1"/>
  <c r="F8" i="20"/>
  <c r="H48" i="20" s="1"/>
  <c r="H17" i="20"/>
  <c r="E17" i="20"/>
  <c r="H14" i="20"/>
  <c r="G14" i="20"/>
  <c r="F18" i="20"/>
  <c r="H18" i="20"/>
  <c r="G18" i="20"/>
  <c r="C45" i="11"/>
  <c r="N20" i="20" s="1"/>
  <c r="G8" i="20"/>
  <c r="H8" i="20"/>
  <c r="F17" i="20"/>
  <c r="G19" i="20"/>
  <c r="H19" i="20"/>
  <c r="C46" i="14"/>
  <c r="E60" i="20" s="1"/>
  <c r="G11" i="20"/>
  <c r="F11" i="20"/>
  <c r="H51" i="20" s="1"/>
  <c r="H16" i="20" l="1"/>
  <c r="G16" i="20"/>
  <c r="G56" i="20"/>
  <c r="E21" i="20"/>
  <c r="F16" i="20"/>
  <c r="G21" i="20"/>
  <c r="F21" i="20"/>
  <c r="E11" i="20"/>
  <c r="G51" i="20" s="1"/>
  <c r="H59" i="20"/>
  <c r="H54" i="20"/>
  <c r="G59" i="20"/>
  <c r="G57" i="20"/>
  <c r="G54" i="20"/>
  <c r="H58" i="20"/>
  <c r="H57" i="20"/>
  <c r="H56" i="20" l="1"/>
  <c r="H61" i="20"/>
  <c r="G61" i="20"/>
  <c r="E20" i="20"/>
  <c r="G60" i="20" s="1"/>
  <c r="F20" i="20"/>
  <c r="H20" i="20"/>
  <c r="G20" i="20"/>
  <c r="H60" i="20" l="1"/>
</calcChain>
</file>

<file path=xl/sharedStrings.xml><?xml version="1.0" encoding="utf-8"?>
<sst xmlns="http://schemas.openxmlformats.org/spreadsheetml/2006/main" count="1647" uniqueCount="425">
  <si>
    <t>Anzahl Felder</t>
  </si>
  <si>
    <t>Erläuterungen/Formeln</t>
  </si>
  <si>
    <t>Requirements</t>
  </si>
  <si>
    <t>Sprache / language</t>
  </si>
  <si>
    <t>Name of panel</t>
  </si>
  <si>
    <t xml:space="preserve">Thickness of zinc </t>
  </si>
  <si>
    <t>Net thickness of faces</t>
  </si>
  <si>
    <t>Cross sectional and characteristic values</t>
  </si>
  <si>
    <t>D =</t>
  </si>
  <si>
    <t>Bauteilbezeichnung</t>
  </si>
  <si>
    <t>Gesamtdicke</t>
  </si>
  <si>
    <t>Thickness over all of panel</t>
  </si>
  <si>
    <t>Nennblechdicke außen</t>
  </si>
  <si>
    <t>Nominal thickness of outer face</t>
  </si>
  <si>
    <t>Nominal thickness of inner face</t>
  </si>
  <si>
    <t>Fläche der Deckschicht</t>
  </si>
  <si>
    <t>Cross-sectional area of faces</t>
  </si>
  <si>
    <t>Moment of inertia of faces</t>
  </si>
  <si>
    <t>Trägheitsmoment der Deckschichten</t>
  </si>
  <si>
    <t>oberer Randabstand</t>
  </si>
  <si>
    <t>unterer Randabstand</t>
  </si>
  <si>
    <t>Thermal expansion coefficient</t>
  </si>
  <si>
    <t>Wärmeausdehnungskoeffizient</t>
  </si>
  <si>
    <t>Schubmodul</t>
  </si>
  <si>
    <t>Shear modulus</t>
  </si>
  <si>
    <t>L =</t>
  </si>
  <si>
    <t>Einzelstützweite</t>
  </si>
  <si>
    <t>Nennblechdicke innen</t>
  </si>
  <si>
    <t>e =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</si>
  <si>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</si>
  <si>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</si>
  <si>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</si>
  <si>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</si>
  <si>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t>B =</t>
  </si>
  <si>
    <r>
      <t>B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/ 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</si>
  <si>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</si>
  <si>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</si>
  <si>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a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</si>
  <si>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</si>
  <si>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1(</t>
    </r>
    <r>
      <rPr>
        <vertAlign val="subscript"/>
        <sz val="10"/>
        <rFont val="Symbol"/>
        <family val="1"/>
      </rPr>
      <t>l</t>
    </r>
    <r>
      <rPr>
        <vertAlign val="subscript"/>
        <sz val="10"/>
        <rFont val="Arial"/>
        <family val="2"/>
      </rPr>
      <t>)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</si>
  <si>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2(</t>
    </r>
    <r>
      <rPr>
        <vertAlign val="subscript"/>
        <sz val="10"/>
        <rFont val="Symbol"/>
        <family val="1"/>
      </rPr>
      <t>l</t>
    </r>
    <r>
      <rPr>
        <vertAlign val="subscript"/>
        <sz val="10"/>
        <rFont val="Arial"/>
        <family val="2"/>
      </rPr>
      <t>)</t>
    </r>
    <r>
      <rPr>
        <sz val="10"/>
        <rFont val="Arial"/>
        <family val="2"/>
      </rPr>
      <t xml:space="preserve"> =</t>
    </r>
  </si>
  <si>
    <t>S =</t>
  </si>
  <si>
    <r>
      <t>b</t>
    </r>
    <r>
      <rPr>
        <sz val="10"/>
        <rFont val="Arial"/>
        <family val="2"/>
      </rPr>
      <t xml:space="preserve"> =</t>
    </r>
  </si>
  <si>
    <t>Schnittgrößen für Gleichstreckenlast</t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</si>
  <si>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</si>
  <si>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</si>
  <si>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t>Sandwichmoment</t>
  </si>
  <si>
    <t>Deckschichtmoment</t>
  </si>
  <si>
    <t>Querkraft in der Kernschicht</t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</si>
  <si>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</si>
  <si>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</si>
  <si>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</si>
  <si>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</si>
  <si>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</si>
  <si>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Querkraft in Deckschicht</t>
  </si>
  <si>
    <t>Endauflagerkraft</t>
  </si>
  <si>
    <t>Zwischenauflagerkraft</t>
  </si>
  <si>
    <t>Durchbiegung</t>
  </si>
  <si>
    <r>
      <t>s</t>
    </r>
    <r>
      <rPr>
        <vertAlign val="subscript"/>
        <sz val="10"/>
        <rFont val="Arial"/>
        <family val="2"/>
      </rPr>
      <t>1,o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</si>
  <si>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1,u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</si>
  <si>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2,o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</si>
  <si>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2,u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</si>
  <si>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</si>
  <si>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Schubspannung im Kern</t>
  </si>
  <si>
    <t>Bending moment (part of outer face)</t>
  </si>
  <si>
    <t>Bending moment (part of inner face)</t>
  </si>
  <si>
    <t>Bending moment (sandwich part)</t>
  </si>
  <si>
    <t>Shaer force in the core</t>
  </si>
  <si>
    <t>Shear force in the outer face</t>
  </si>
  <si>
    <t>Shear force in the inner face</t>
  </si>
  <si>
    <t>End support reaction</t>
  </si>
  <si>
    <t>Reaction on intermediate support</t>
  </si>
  <si>
    <t>Normalspannungen oberes Deckblech außen</t>
  </si>
  <si>
    <t>Normalspannungen oberes Deckblech innen</t>
  </si>
  <si>
    <t>Longitudinal stress outside of outer face</t>
  </si>
  <si>
    <t>Longitudinal stress inside of outer face</t>
  </si>
  <si>
    <t>Longitudinal stress inside of inner face</t>
  </si>
  <si>
    <t>Longitudinal stress outside of inner face</t>
  </si>
  <si>
    <t>Shear stress of the core</t>
  </si>
  <si>
    <r>
      <t>M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</si>
  <si>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t>Schnittgrößen für Temperaturdifferenz</t>
  </si>
  <si>
    <t>Internal force variables for uniformly distributed load</t>
  </si>
  <si>
    <t>Distance between centroids of faces</t>
  </si>
  <si>
    <t>Number of spans</t>
  </si>
  <si>
    <t>Single span width</t>
  </si>
  <si>
    <r>
      <t>q</t>
    </r>
    <r>
      <rPr>
        <b/>
        <sz val="10"/>
        <color indexed="12"/>
        <rFont val="Arial"/>
        <family val="2"/>
      </rPr>
      <t xml:space="preserve"> =</t>
    </r>
  </si>
  <si>
    <t>spans</t>
  </si>
  <si>
    <t>mm</t>
  </si>
  <si>
    <t>Kernblechdicke</t>
  </si>
  <si>
    <t>E-Modul</t>
  </si>
  <si>
    <t>N/mm²</t>
  </si>
  <si>
    <t>1/°</t>
  </si>
  <si>
    <r>
      <t>B</t>
    </r>
    <r>
      <rPr>
        <vertAlign val="subscript"/>
        <sz val="10"/>
        <rFont val="Arial"/>
        <family val="2"/>
      </rPr>
      <t>S</t>
    </r>
  </si>
  <si>
    <t>kNcm²</t>
  </si>
  <si>
    <t>Querschnitts- und Materialkennwerte</t>
  </si>
  <si>
    <t>Dicke der Zinkschicht</t>
  </si>
  <si>
    <t>Felder</t>
  </si>
  <si>
    <t>kN/m²</t>
  </si>
  <si>
    <t>m</t>
  </si>
  <si>
    <t>Gesamtelement (Hilfswerte und Zwischenergebnisse)</t>
  </si>
  <si>
    <t>kNm/m</t>
  </si>
  <si>
    <t>2Feld</t>
  </si>
  <si>
    <t>kN/m</t>
  </si>
  <si>
    <t>cm</t>
  </si>
  <si>
    <t>1Feld</t>
  </si>
  <si>
    <r>
      <t>l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</si>
  <si>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F2</t>
    </r>
  </si>
  <si>
    <r>
      <t>B</t>
    </r>
    <r>
      <rPr>
        <vertAlign val="subscript"/>
        <sz val="10"/>
        <rFont val="Arial"/>
        <family val="2"/>
      </rPr>
      <t>F1</t>
    </r>
  </si>
  <si>
    <t>-</t>
  </si>
  <si>
    <t>cm²</t>
  </si>
  <si>
    <t>kN</t>
  </si>
  <si>
    <t>Schnittgrößenbezeichnungen am Querschnitt</t>
  </si>
  <si>
    <t>Spannungsverteilung</t>
  </si>
  <si>
    <t>Internal forces in panel cross section</t>
  </si>
  <si>
    <t>Stress resultants</t>
  </si>
  <si>
    <t>deutsch/german</t>
  </si>
  <si>
    <t>englisch/english</t>
  </si>
  <si>
    <t>Änderungsvermerke:</t>
  </si>
  <si>
    <t>Version 0.9</t>
  </si>
  <si>
    <t>Erstes Release fertiggestellt</t>
  </si>
  <si>
    <t>Version 1.0</t>
  </si>
  <si>
    <t>Erste Version fertiggestellt</t>
  </si>
  <si>
    <t>Version 1.1</t>
  </si>
  <si>
    <t>Englische Sprache ergänzt</t>
  </si>
  <si>
    <t>Version 1.2</t>
  </si>
  <si>
    <t>Version 1.3</t>
  </si>
  <si>
    <t>Version 1.4</t>
  </si>
  <si>
    <t>Version 1.5</t>
  </si>
  <si>
    <t>Erläuterungen eingefügt</t>
  </si>
  <si>
    <t>Skizzen eingefügt</t>
  </si>
  <si>
    <t>iS-Mainz Version</t>
  </si>
  <si>
    <t>Fehler bei Alpha-T beseitigt</t>
  </si>
  <si>
    <t>Changings:</t>
  </si>
  <si>
    <t>First release</t>
  </si>
  <si>
    <t>Finishing First Version</t>
  </si>
  <si>
    <t>English added</t>
  </si>
  <si>
    <t>Explenations added</t>
  </si>
  <si>
    <t>Scetches added</t>
  </si>
  <si>
    <t>Mistake at Alpha-T</t>
  </si>
  <si>
    <t>Auswahlbox für Sprache</t>
  </si>
  <si>
    <t>Listbox for language</t>
  </si>
  <si>
    <t>Version 1.6</t>
  </si>
  <si>
    <t>iS-mainz-Version</t>
  </si>
  <si>
    <t>Fehlerabfangungen ergänzt</t>
  </si>
  <si>
    <t>more input mistakes controlings</t>
  </si>
  <si>
    <t>Version 1.7</t>
  </si>
  <si>
    <t>Normalspannungen unteres Deckblech innen</t>
  </si>
  <si>
    <t>Normalspannungen unteres Deckblech außen</t>
  </si>
  <si>
    <t>Version 1.8</t>
  </si>
  <si>
    <t>Fehler bei Spannungsermittlung für Sigam 2,o (Vorzeichenfehler) bei profilierter Deckschicht</t>
  </si>
  <si>
    <t>Version 1.9</t>
  </si>
  <si>
    <t>Fehler bei Temperaturverformung: 1000--&gt; 100; C35--&gt;C36</t>
  </si>
  <si>
    <r>
      <t>B = B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+ 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</si>
  <si>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</si>
  <si>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</si>
  <si>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</si>
  <si>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4,1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</si>
  <si>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4,2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</si>
  <si>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8,2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</si>
  <si>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8,1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</si>
  <si>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</si>
  <si>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</si>
  <si>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</si>
  <si>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(S * L²) =</t>
    </r>
  </si>
  <si>
    <r>
      <t>G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 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</si>
  <si>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tanh(</t>
    </r>
    <r>
      <rPr>
        <sz val="10"/>
        <rFont val="Symbol"/>
        <family val="1"/>
      </rPr>
      <t>l</t>
    </r>
    <r>
      <rPr>
        <sz val="10"/>
        <rFont val="Arial"/>
        <family val="2"/>
      </rPr>
      <t>/2) =</t>
    </r>
  </si>
  <si>
    <r>
      <t>1-(1/cosh(</t>
    </r>
    <r>
      <rPr>
        <sz val="10"/>
        <rFont val="Symbol"/>
        <family val="1"/>
      </rPr>
      <t>l</t>
    </r>
    <r>
      <rPr>
        <sz val="10"/>
        <rFont val="Arial"/>
        <family val="2"/>
      </rPr>
      <t>/2)) =</t>
    </r>
  </si>
  <si>
    <r>
      <t>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/ (L² * G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 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)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</si>
  <si>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</si>
  <si>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/ B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 </t>
    </r>
  </si>
  <si>
    <t>Deckschichtabstand</t>
  </si>
  <si>
    <t>Kernfläche</t>
  </si>
  <si>
    <t>Cross section area</t>
  </si>
  <si>
    <t>Hilfswerte und Zwischenergebnisse:</t>
  </si>
  <si>
    <t>intermediate datas:</t>
  </si>
  <si>
    <t>Datas of panel (Intermediate datas)</t>
  </si>
  <si>
    <t>Comments/formular</t>
  </si>
  <si>
    <t>Voraussetzungen</t>
  </si>
  <si>
    <t>Hilfswerte und Zwischenergebnisse</t>
  </si>
  <si>
    <r>
      <t>e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</t>
    </r>
  </si>
  <si>
    <t>zur genauen Ermittlung z. B. SandStat verwenden</t>
  </si>
  <si>
    <t>Durchbiegung für Gleichstreckenlast</t>
  </si>
  <si>
    <t>Durchbiegung für Temperaturdifferenz</t>
  </si>
  <si>
    <t>1.)</t>
  </si>
  <si>
    <t>x</t>
  </si>
  <si>
    <t>2.)</t>
  </si>
  <si>
    <r>
      <t>e</t>
    </r>
    <r>
      <rPr>
        <vertAlign val="subscript"/>
        <sz val="10"/>
        <rFont val="Arial"/>
        <family val="2"/>
      </rPr>
      <t>5</t>
    </r>
  </si>
  <si>
    <r>
      <t>e</t>
    </r>
    <r>
      <rPr>
        <vertAlign val="subscript"/>
        <sz val="10"/>
        <rFont val="Arial"/>
        <family val="2"/>
      </rPr>
      <t>3</t>
    </r>
  </si>
  <si>
    <r>
      <t>e</t>
    </r>
    <r>
      <rPr>
        <vertAlign val="subscript"/>
        <sz val="10"/>
        <rFont val="Arial"/>
        <family val="2"/>
      </rPr>
      <t>2</t>
    </r>
  </si>
  <si>
    <r>
      <t>w</t>
    </r>
    <r>
      <rPr>
        <vertAlign val="subscript"/>
        <sz val="10"/>
        <rFont val="Arial"/>
        <family val="2"/>
      </rPr>
      <t>q</t>
    </r>
  </si>
  <si>
    <r>
      <rPr>
        <sz val="10"/>
        <rFont val="Arial"/>
        <family val="2"/>
      </rPr>
      <t>w</t>
    </r>
    <r>
      <rPr>
        <vertAlign val="subscript"/>
        <sz val="10"/>
        <rFont val="Symbol"/>
        <family val="1"/>
        <charset val="2"/>
      </rPr>
      <t>q</t>
    </r>
  </si>
  <si>
    <t>max w =</t>
  </si>
  <si>
    <r>
      <t xml:space="preserve">max </t>
    </r>
    <r>
      <rPr>
        <sz val="10"/>
        <rFont val="Symbol"/>
        <family val="1"/>
        <charset val="2"/>
      </rPr>
      <t>x</t>
    </r>
    <r>
      <rPr>
        <sz val="11.2"/>
        <rFont val="Arial"/>
        <family val="2"/>
      </rPr>
      <t xml:space="preserve"> =</t>
    </r>
  </si>
  <si>
    <r>
      <t>w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</si>
  <si>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w</t>
    </r>
    <r>
      <rPr>
        <vertAlign val="subscript"/>
        <sz val="10"/>
        <rFont val="Cambria"/>
        <family val="1"/>
      </rPr>
      <t>(</t>
    </r>
    <r>
      <rPr>
        <vertAlign val="subscript"/>
        <sz val="10"/>
        <rFont val="Symbol"/>
        <family val="1"/>
        <charset val="2"/>
      </rPr>
      <t>x</t>
    </r>
    <r>
      <rPr>
        <vertAlign val="subscript"/>
        <sz val="10"/>
        <rFont val="Cambria"/>
        <family val="1"/>
      </rPr>
      <t>= 0,5)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</si>
  <si>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  <charset val="2"/>
      </rPr>
      <t>x</t>
    </r>
    <r>
      <rPr>
        <sz val="10"/>
        <rFont val="Calibri"/>
        <family val="2"/>
      </rPr>
      <t xml:space="preserve"> = x/2L =</t>
    </r>
  </si>
  <si>
    <r>
      <rPr>
        <sz val="10"/>
        <rFont val="Symbol"/>
        <family val="1"/>
        <charset val="2"/>
      </rPr>
      <t>x</t>
    </r>
    <r>
      <rPr>
        <vertAlign val="subscript"/>
        <sz val="10"/>
        <rFont val="Arial"/>
        <family val="2"/>
      </rPr>
      <t>(wmax)</t>
    </r>
    <r>
      <rPr>
        <sz val="10"/>
        <rFont val="Calibri"/>
        <family val="2"/>
      </rPr>
      <t xml:space="preserve"> =</t>
    </r>
  </si>
  <si>
    <t>deflection curve</t>
  </si>
  <si>
    <t>x/L =</t>
  </si>
  <si>
    <t>Schnittgröße</t>
  </si>
  <si>
    <t>Einheit</t>
  </si>
  <si>
    <t>g</t>
  </si>
  <si>
    <t>s</t>
  </si>
  <si>
    <t>g =</t>
  </si>
  <si>
    <t>s =</t>
  </si>
  <si>
    <t>Temperatur außen Sommer</t>
  </si>
  <si>
    <t>Temperatur innen Sommer</t>
  </si>
  <si>
    <t>Temperatur außen Winter</t>
  </si>
  <si>
    <t>Temperatur innen Winter</t>
  </si>
  <si>
    <t>Temperatur außen Winter mit Schnee</t>
  </si>
  <si>
    <t>Temperature outer face summer</t>
  </si>
  <si>
    <t>Temperature inner face summer</t>
  </si>
  <si>
    <t>Temperature outer face winter</t>
  </si>
  <si>
    <t>Temperature inner face winter</t>
  </si>
  <si>
    <t>Temperature outer face winter with snow</t>
  </si>
  <si>
    <t>min w =</t>
  </si>
  <si>
    <r>
      <t xml:space="preserve">min </t>
    </r>
    <r>
      <rPr>
        <sz val="10"/>
        <rFont val="Symbol"/>
        <family val="1"/>
        <charset val="2"/>
      </rPr>
      <t>x</t>
    </r>
    <r>
      <rPr>
        <sz val="11.2"/>
        <rFont val="Arial"/>
        <family val="2"/>
      </rPr>
      <t xml:space="preserve"> =</t>
    </r>
  </si>
  <si>
    <t>Internal force</t>
  </si>
  <si>
    <t>unit</t>
  </si>
  <si>
    <t>Langzeitschubmodul</t>
  </si>
  <si>
    <r>
      <t>G</t>
    </r>
    <r>
      <rPr>
        <vertAlign val="subscript"/>
        <sz val="10"/>
        <rFont val="Arial"/>
        <family val="2"/>
      </rPr>
      <t>C,t</t>
    </r>
    <r>
      <rPr>
        <sz val="10"/>
        <rFont val="Arial"/>
        <family val="2"/>
      </rPr>
      <t xml:space="preserve"> =</t>
    </r>
  </si>
  <si>
    <t>Diferenzkräfte/ -spannungen/ -verformungen</t>
  </si>
  <si>
    <t>creep coefficient t = 2.000 h</t>
  </si>
  <si>
    <t>creep coefficient t = 100.000 h</t>
  </si>
  <si>
    <t>Kriechbeiwert t = 100.000 h</t>
  </si>
  <si>
    <t>Kriechbeiwert t = 2.000 h</t>
  </si>
  <si>
    <t>Difference -forces/ -stresses/ -deflections</t>
  </si>
  <si>
    <t>Kriechen</t>
  </si>
  <si>
    <t>creeping</t>
  </si>
  <si>
    <t>maximale Durchbiegung</t>
  </si>
  <si>
    <t>Stelle der max. Durchbiegung</t>
  </si>
  <si>
    <t>Durchbiegung in Feldmitte</t>
  </si>
  <si>
    <t>maximum deflection</t>
  </si>
  <si>
    <t>deflection at midspan</t>
  </si>
  <si>
    <t>point of maxinum deflection</t>
  </si>
  <si>
    <t>Internal force variables for temperaturdifference</t>
  </si>
  <si>
    <t>long time shear modulus</t>
  </si>
  <si>
    <t>Tabelle aller Schnittgrößen und Spannungen:</t>
  </si>
  <si>
    <t>Table of all internal foces and stresses:</t>
  </si>
  <si>
    <t>Kern</t>
  </si>
  <si>
    <t>Deckschichten</t>
  </si>
  <si>
    <t>Core</t>
  </si>
  <si>
    <t>Faces</t>
  </si>
  <si>
    <t>Querkraft in der äußeren Deckschicht</t>
  </si>
  <si>
    <t>Querkraft in der inneren Deckschicht</t>
  </si>
  <si>
    <t>Colour group</t>
  </si>
  <si>
    <t>Farbgruppe</t>
  </si>
  <si>
    <t xml:space="preserve"> </t>
  </si>
  <si>
    <t>Farbgruppe I</t>
  </si>
  <si>
    <t>Farbgruppe III</t>
  </si>
  <si>
    <r>
      <t>f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=</t>
    </r>
    <r>
      <rPr>
        <vertAlign val="subscript"/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</si>
  <si>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wd</t>
    </r>
    <r>
      <rPr>
        <sz val="12"/>
        <rFont val="Arial"/>
        <family val="2"/>
      </rPr>
      <t xml:space="preserve"> =</t>
    </r>
    <r>
      <rPr>
        <vertAlign val="subscript"/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</si>
  <si>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ws</t>
    </r>
    <r>
      <rPr>
        <sz val="12"/>
        <rFont val="Arial"/>
        <family val="2"/>
      </rPr>
      <t xml:space="preserve"> =</t>
    </r>
    <r>
      <rPr>
        <vertAlign val="subscript"/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</si>
  <si>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Tw</t>
    </r>
    <r>
      <rPr>
        <sz val="12"/>
        <rFont val="Arial"/>
        <family val="2"/>
      </rPr>
      <t xml:space="preserve"> =</t>
    </r>
    <r>
      <rPr>
        <vertAlign val="subscript"/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</si>
  <si>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Tws</t>
    </r>
    <r>
      <rPr>
        <sz val="12"/>
        <rFont val="Arial"/>
        <family val="2"/>
      </rPr>
      <t xml:space="preserve"> =</t>
    </r>
    <r>
      <rPr>
        <vertAlign val="subscript"/>
        <sz val="12"/>
        <rFont val="Arial"/>
        <family val="2"/>
      </rPr>
      <t xml:space="preserve"> </t>
    </r>
  </si>
  <si>
    <t>ULS</t>
  </si>
  <si>
    <t>SLS</t>
  </si>
  <si>
    <t>Durchbiegung für Temperaturdifferenz ULS</t>
  </si>
  <si>
    <t>Shear force in the core</t>
  </si>
  <si>
    <t>Gleichstreckenlast, Eigengewicht</t>
  </si>
  <si>
    <t>Abschnitt A: Eingabewerte</t>
  </si>
  <si>
    <t>von Sandwichbauteilen</t>
  </si>
  <si>
    <t>Ermittlung der Schnittgrößen und Spannungen</t>
  </si>
  <si>
    <t>Statisches System und Grundlasten</t>
  </si>
  <si>
    <t>Statical system and general loading</t>
  </si>
  <si>
    <t>Gleichstreckenlast, Schnee</t>
  </si>
  <si>
    <t>Gleichstreckenlast, Winddruck</t>
  </si>
  <si>
    <t>Gleichstreckenlast, Windsog</t>
  </si>
  <si>
    <t>für die Beanspruchungen infolge g, s, w, T</t>
  </si>
  <si>
    <t>Abschnitt C: Einzelergebnisse der Schnittgrößen und Spannungen</t>
  </si>
  <si>
    <r>
      <t>w</t>
    </r>
    <r>
      <rPr>
        <b/>
        <vertAlign val="subscript"/>
        <sz val="14"/>
        <rFont val="Arial"/>
        <family val="2"/>
      </rPr>
      <t>d</t>
    </r>
  </si>
  <si>
    <r>
      <t>w</t>
    </r>
    <r>
      <rPr>
        <b/>
        <vertAlign val="subscript"/>
        <sz val="14"/>
        <rFont val="Arial"/>
        <family val="2"/>
      </rPr>
      <t>s</t>
    </r>
  </si>
  <si>
    <r>
      <t>M</t>
    </r>
    <r>
      <rPr>
        <vertAlign val="subscript"/>
        <sz val="14"/>
        <rFont val="Arial"/>
        <family val="2"/>
      </rPr>
      <t>S</t>
    </r>
    <r>
      <rPr>
        <sz val="14"/>
        <rFont val="Arial"/>
        <family val="2"/>
      </rPr>
      <t xml:space="preserve"> </t>
    </r>
  </si>
  <si>
    <r>
      <t>M</t>
    </r>
    <r>
      <rPr>
        <vertAlign val="subscript"/>
        <sz val="14"/>
        <rFont val="Arial"/>
        <family val="2"/>
      </rPr>
      <t>F1</t>
    </r>
  </si>
  <si>
    <r>
      <t>M</t>
    </r>
    <r>
      <rPr>
        <vertAlign val="subscript"/>
        <sz val="14"/>
        <rFont val="Arial"/>
        <family val="2"/>
      </rPr>
      <t>F2</t>
    </r>
    <r>
      <rPr>
        <sz val="14"/>
        <rFont val="Arial"/>
        <family val="2"/>
      </rPr>
      <t xml:space="preserve"> </t>
    </r>
  </si>
  <si>
    <r>
      <t>V</t>
    </r>
    <r>
      <rPr>
        <vertAlign val="subscript"/>
        <sz val="14"/>
        <rFont val="Arial"/>
        <family val="2"/>
      </rPr>
      <t>S</t>
    </r>
  </si>
  <si>
    <r>
      <t>V</t>
    </r>
    <r>
      <rPr>
        <vertAlign val="subscript"/>
        <sz val="14"/>
        <rFont val="Arial"/>
        <family val="2"/>
      </rPr>
      <t>F1</t>
    </r>
  </si>
  <si>
    <r>
      <t>V</t>
    </r>
    <r>
      <rPr>
        <vertAlign val="subscript"/>
        <sz val="14"/>
        <rFont val="Arial"/>
        <family val="2"/>
      </rPr>
      <t>F2</t>
    </r>
  </si>
  <si>
    <r>
      <t>R</t>
    </r>
    <r>
      <rPr>
        <vertAlign val="subscript"/>
        <sz val="14"/>
        <rFont val="Arial"/>
        <family val="2"/>
      </rPr>
      <t>E</t>
    </r>
  </si>
  <si>
    <r>
      <t>R</t>
    </r>
    <r>
      <rPr>
        <vertAlign val="subscript"/>
        <sz val="14"/>
        <rFont val="Arial"/>
        <family val="2"/>
      </rPr>
      <t>M</t>
    </r>
  </si>
  <si>
    <r>
      <t>s</t>
    </r>
    <r>
      <rPr>
        <vertAlign val="subscript"/>
        <sz val="14"/>
        <rFont val="Arial"/>
        <family val="2"/>
      </rPr>
      <t>F1,1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</si>
  <si>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4"/>
        <rFont val="Arial"/>
        <family val="2"/>
      </rPr>
      <t>F1,2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</si>
  <si>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4"/>
        <rFont val="Arial"/>
        <family val="2"/>
      </rPr>
      <t>F2,1</t>
    </r>
    <r>
      <rPr>
        <sz val="14"/>
        <rFont val="Arial"/>
        <family val="2"/>
      </rPr>
      <t xml:space="preserve"> </t>
    </r>
  </si>
  <si>
    <r>
      <t>s</t>
    </r>
    <r>
      <rPr>
        <vertAlign val="subscript"/>
        <sz val="14"/>
        <rFont val="Arial"/>
        <family val="2"/>
      </rPr>
      <t>F2,2</t>
    </r>
    <r>
      <rPr>
        <sz val="14"/>
        <rFont val="Arial"/>
        <family val="2"/>
      </rPr>
      <t xml:space="preserve"> </t>
    </r>
  </si>
  <si>
    <r>
      <t>t</t>
    </r>
    <r>
      <rPr>
        <vertAlign val="subscript"/>
        <sz val="14"/>
        <rFont val="Arial"/>
        <family val="2"/>
      </rPr>
      <t>C</t>
    </r>
  </si>
  <si>
    <r>
      <t>w</t>
    </r>
    <r>
      <rPr>
        <vertAlign val="subscript"/>
        <sz val="14"/>
        <rFont val="Arial"/>
        <family val="2"/>
      </rPr>
      <t>max</t>
    </r>
  </si>
  <si>
    <r>
      <rPr>
        <sz val="14"/>
        <rFont val="Arial"/>
        <family val="2"/>
      </rPr>
      <t xml:space="preserve">x/l = </t>
    </r>
    <r>
      <rPr>
        <sz val="14"/>
        <rFont val="Symbol"/>
        <family val="1"/>
        <charset val="2"/>
      </rPr>
      <t>x</t>
    </r>
    <r>
      <rPr>
        <vertAlign val="subscript"/>
        <sz val="14"/>
        <rFont val="Arial"/>
        <family val="2"/>
      </rPr>
      <t>max</t>
    </r>
  </si>
  <si>
    <r>
      <t>w</t>
    </r>
    <r>
      <rPr>
        <vertAlign val="subscript"/>
        <sz val="14"/>
        <rFont val="Cambria"/>
        <family val="1"/>
      </rPr>
      <t>(</t>
    </r>
    <r>
      <rPr>
        <vertAlign val="subscript"/>
        <sz val="14"/>
        <rFont val="Symbol"/>
        <family val="1"/>
        <charset val="2"/>
      </rPr>
      <t>x</t>
    </r>
    <r>
      <rPr>
        <vertAlign val="subscript"/>
        <sz val="14"/>
        <rFont val="Cambria"/>
        <family val="1"/>
      </rPr>
      <t>= 0,5)</t>
    </r>
  </si>
  <si>
    <r>
      <rPr>
        <b/>
        <sz val="14"/>
        <rFont val="Symbol"/>
        <family val="1"/>
        <charset val="2"/>
      </rPr>
      <t>D</t>
    </r>
    <r>
      <rPr>
        <b/>
        <sz val="14"/>
        <rFont val="Arial"/>
        <family val="2"/>
      </rPr>
      <t>T</t>
    </r>
    <r>
      <rPr>
        <b/>
        <vertAlign val="subscript"/>
        <sz val="14"/>
        <rFont val="Arial"/>
        <family val="2"/>
      </rPr>
      <t>s</t>
    </r>
  </si>
  <si>
    <r>
      <rPr>
        <b/>
        <sz val="14"/>
        <rFont val="Symbol"/>
        <family val="1"/>
        <charset val="2"/>
      </rPr>
      <t>D</t>
    </r>
    <r>
      <rPr>
        <b/>
        <sz val="14"/>
        <rFont val="Arial"/>
        <family val="2"/>
      </rPr>
      <t>T</t>
    </r>
    <r>
      <rPr>
        <b/>
        <vertAlign val="subscript"/>
        <sz val="14"/>
        <rFont val="Arial"/>
        <family val="2"/>
      </rPr>
      <t>W</t>
    </r>
  </si>
  <si>
    <r>
      <rPr>
        <b/>
        <sz val="14"/>
        <rFont val="Symbol"/>
        <family val="1"/>
        <charset val="2"/>
      </rPr>
      <t>D</t>
    </r>
    <r>
      <rPr>
        <b/>
        <sz val="14"/>
        <rFont val="Arial"/>
        <family val="2"/>
      </rPr>
      <t>T</t>
    </r>
    <r>
      <rPr>
        <b/>
        <vertAlign val="subscript"/>
        <sz val="14"/>
        <rFont val="Arial"/>
        <family val="2"/>
      </rPr>
      <t>W,s</t>
    </r>
  </si>
  <si>
    <r>
      <t>g</t>
    </r>
    <r>
      <rPr>
        <b/>
        <vertAlign val="subscript"/>
        <sz val="14"/>
        <rFont val="Arial"/>
        <family val="2"/>
      </rPr>
      <t>t</t>
    </r>
  </si>
  <si>
    <r>
      <t>s</t>
    </r>
    <r>
      <rPr>
        <b/>
        <vertAlign val="subscript"/>
        <sz val="14"/>
        <rFont val="Arial"/>
        <family val="2"/>
      </rPr>
      <t>t</t>
    </r>
  </si>
  <si>
    <r>
      <rPr>
        <b/>
        <sz val="14"/>
        <rFont val="Symbol"/>
        <family val="1"/>
        <charset val="2"/>
      </rPr>
      <t>D</t>
    </r>
    <r>
      <rPr>
        <b/>
        <sz val="14"/>
        <rFont val="Arial"/>
        <family val="2"/>
      </rPr>
      <t>g</t>
    </r>
    <r>
      <rPr>
        <b/>
        <vertAlign val="subscript"/>
        <sz val="14"/>
        <rFont val="Arial"/>
        <family val="2"/>
      </rPr>
      <t>t</t>
    </r>
  </si>
  <si>
    <r>
      <rPr>
        <b/>
        <sz val="14"/>
        <rFont val="Symbol"/>
        <family val="1"/>
        <charset val="2"/>
      </rPr>
      <t>D</t>
    </r>
    <r>
      <rPr>
        <b/>
        <sz val="14"/>
        <rFont val="Arial"/>
        <family val="2"/>
      </rPr>
      <t>s</t>
    </r>
    <r>
      <rPr>
        <b/>
        <vertAlign val="subscript"/>
        <sz val="14"/>
        <rFont val="Arial"/>
        <family val="2"/>
      </rPr>
      <t>t</t>
    </r>
  </si>
  <si>
    <r>
      <t>t</t>
    </r>
    <r>
      <rPr>
        <vertAlign val="subscript"/>
        <sz val="11"/>
        <rFont val="Arial"/>
        <family val="2"/>
      </rPr>
      <t>nom,1</t>
    </r>
    <r>
      <rPr>
        <sz val="11"/>
        <rFont val="Arial"/>
        <family val="2"/>
      </rPr>
      <t xml:space="preserve"> =</t>
    </r>
  </si>
  <si>
    <r>
      <t>t</t>
    </r>
    <r>
      <rPr>
        <vertAlign val="subscript"/>
        <sz val="11"/>
        <rFont val="Arial"/>
        <family val="2"/>
      </rPr>
      <t>nom,2</t>
    </r>
    <r>
      <rPr>
        <sz val="11"/>
        <rFont val="Arial"/>
        <family val="2"/>
      </rPr>
      <t xml:space="preserve"> =</t>
    </r>
  </si>
  <si>
    <r>
      <t>A</t>
    </r>
    <r>
      <rPr>
        <vertAlign val="subscript"/>
        <sz val="11"/>
        <rFont val="Arial"/>
        <family val="2"/>
      </rPr>
      <t>Fi</t>
    </r>
    <r>
      <rPr>
        <sz val="11"/>
        <rFont val="Arial"/>
        <family val="2"/>
      </rPr>
      <t xml:space="preserve"> =</t>
    </r>
  </si>
  <si>
    <r>
      <t>cm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</t>
    </r>
  </si>
  <si>
    <r>
      <t>I</t>
    </r>
    <r>
      <rPr>
        <vertAlign val="subscript"/>
        <sz val="11"/>
        <rFont val="Arial"/>
        <family val="2"/>
      </rPr>
      <t>Fi</t>
    </r>
    <r>
      <rPr>
        <sz val="11"/>
        <rFont val="Arial"/>
        <family val="2"/>
      </rPr>
      <t xml:space="preserve"> =</t>
    </r>
  </si>
  <si>
    <r>
      <t>cm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>/m</t>
    </r>
  </si>
  <si>
    <r>
      <t>d</t>
    </r>
    <r>
      <rPr>
        <vertAlign val="subscript"/>
        <sz val="11"/>
        <rFont val="Arial"/>
        <family val="2"/>
      </rPr>
      <t>i1</t>
    </r>
    <r>
      <rPr>
        <sz val="11"/>
        <rFont val="Arial"/>
        <family val="2"/>
      </rPr>
      <t xml:space="preserve"> =</t>
    </r>
  </si>
  <si>
    <r>
      <t>d</t>
    </r>
    <r>
      <rPr>
        <vertAlign val="subscript"/>
        <sz val="11"/>
        <rFont val="Arial"/>
        <family val="2"/>
      </rPr>
      <t>i2</t>
    </r>
    <r>
      <rPr>
        <sz val="11"/>
        <rFont val="Arial"/>
        <family val="2"/>
      </rPr>
      <t xml:space="preserve"> =</t>
    </r>
  </si>
  <si>
    <r>
      <t>E</t>
    </r>
    <r>
      <rPr>
        <vertAlign val="subscript"/>
        <sz val="11"/>
        <rFont val="Arial"/>
        <family val="2"/>
      </rPr>
      <t>Fi</t>
    </r>
    <r>
      <rPr>
        <sz val="11"/>
        <rFont val="Arial"/>
        <family val="2"/>
      </rPr>
      <t xml:space="preserve"> =</t>
    </r>
  </si>
  <si>
    <r>
      <t>a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=</t>
    </r>
  </si>
  <si>
    <r>
      <t>außen</t>
    </r>
    <r>
      <rPr>
        <sz val="14"/>
        <rFont val="Arial"/>
        <family val="2"/>
      </rPr>
      <t xml:space="preserve"> (Index 1)</t>
    </r>
  </si>
  <si>
    <r>
      <t>innen</t>
    </r>
    <r>
      <rPr>
        <sz val="14"/>
        <rFont val="Arial"/>
        <family val="2"/>
      </rPr>
      <t xml:space="preserve"> (Index 2)</t>
    </r>
  </si>
  <si>
    <r>
      <t>outer face</t>
    </r>
    <r>
      <rPr>
        <sz val="14"/>
        <rFont val="Arial"/>
        <family val="2"/>
      </rPr>
      <t>(Index 1)</t>
    </r>
  </si>
  <si>
    <r>
      <t>inner face</t>
    </r>
    <r>
      <rPr>
        <sz val="14"/>
        <rFont val="Arial"/>
        <family val="2"/>
      </rPr>
      <t xml:space="preserve"> (Index 2)</t>
    </r>
  </si>
  <si>
    <r>
      <t>G</t>
    </r>
    <r>
      <rPr>
        <vertAlign val="subscript"/>
        <sz val="11"/>
        <rFont val="Arial"/>
        <family val="2"/>
      </rPr>
      <t>C</t>
    </r>
    <r>
      <rPr>
        <sz val="11"/>
        <rFont val="Arial"/>
        <family val="2"/>
      </rPr>
      <t xml:space="preserve"> =</t>
    </r>
  </si>
  <si>
    <r>
      <rPr>
        <sz val="11"/>
        <rFont val="Symbol"/>
        <family val="1"/>
        <charset val="2"/>
      </rPr>
      <t>j</t>
    </r>
    <r>
      <rPr>
        <vertAlign val="subscript"/>
        <sz val="11"/>
        <rFont val="Arial"/>
        <family val="2"/>
      </rPr>
      <t>10</t>
    </r>
    <r>
      <rPr>
        <vertAlign val="superscript"/>
        <sz val="11"/>
        <rFont val="Arial"/>
        <family val="2"/>
      </rPr>
      <t>5</t>
    </r>
    <r>
      <rPr>
        <vertAlign val="subscript"/>
        <sz val="11"/>
        <rFont val="Arial"/>
        <family val="2"/>
      </rPr>
      <t>h</t>
    </r>
    <r>
      <rPr>
        <sz val="11"/>
        <rFont val="Arial"/>
        <family val="2"/>
      </rPr>
      <t xml:space="preserve"> =</t>
    </r>
  </si>
  <si>
    <r>
      <rPr>
        <sz val="11"/>
        <rFont val="Symbol"/>
        <family val="1"/>
        <charset val="2"/>
      </rPr>
      <t>j</t>
    </r>
    <r>
      <rPr>
        <vertAlign val="subscript"/>
        <sz val="11"/>
        <rFont val="Arial"/>
        <family val="2"/>
      </rPr>
      <t>2000h</t>
    </r>
    <r>
      <rPr>
        <sz val="11"/>
        <rFont val="Arial"/>
        <family val="2"/>
      </rPr>
      <t xml:space="preserve"> =</t>
    </r>
  </si>
  <si>
    <r>
      <t>w</t>
    </r>
    <r>
      <rPr>
        <vertAlign val="subscript"/>
        <sz val="11"/>
        <rFont val="Arial"/>
        <family val="2"/>
      </rPr>
      <t>d</t>
    </r>
    <r>
      <rPr>
        <sz val="11"/>
        <rFont val="Arial"/>
        <family val="2"/>
      </rPr>
      <t xml:space="preserve"> =</t>
    </r>
  </si>
  <si>
    <r>
      <t>kN/m</t>
    </r>
    <r>
      <rPr>
        <vertAlign val="superscript"/>
        <sz val="11"/>
        <rFont val="Arial"/>
        <family val="2"/>
      </rPr>
      <t>2</t>
    </r>
  </si>
  <si>
    <r>
      <t>w</t>
    </r>
    <r>
      <rPr>
        <vertAlign val="subscript"/>
        <sz val="11"/>
        <rFont val="Arial"/>
        <family val="2"/>
      </rPr>
      <t>s</t>
    </r>
    <r>
      <rPr>
        <sz val="11"/>
        <rFont val="Arial"/>
        <family val="2"/>
      </rPr>
      <t xml:space="preserve"> =</t>
    </r>
  </si>
  <si>
    <t>Determination of the internal forces, bending moments and</t>
  </si>
  <si>
    <t>stresses of Sandwichpanels</t>
  </si>
  <si>
    <t>Upper distance to the centroids</t>
  </si>
  <si>
    <t>lower distance to the centroids</t>
  </si>
  <si>
    <t>Normal stress outside of outer face</t>
  </si>
  <si>
    <t>Normal stress inside of outer face</t>
  </si>
  <si>
    <t>Normal stress inside of inner face</t>
  </si>
  <si>
    <t>Normal stress outside of inner face</t>
  </si>
  <si>
    <t>Clause C: Output of the results</t>
  </si>
  <si>
    <t>for the actions of g, s, w, T</t>
  </si>
  <si>
    <t>Clouse A: input datas</t>
  </si>
  <si>
    <t>Uniformly distributed load, self weight</t>
  </si>
  <si>
    <t>Uniformly distributed load, snow</t>
  </si>
  <si>
    <t>Uniformly distributed load, wind pressure</t>
  </si>
  <si>
    <t>Uniformly distributed load, wind suction</t>
  </si>
  <si>
    <r>
      <t>I</t>
    </r>
    <r>
      <rPr>
        <vertAlign val="subscript"/>
        <sz val="11"/>
        <rFont val="Arial"/>
        <family val="2"/>
      </rPr>
      <t>Blech</t>
    </r>
    <r>
      <rPr>
        <sz val="11"/>
        <rFont val="Arial"/>
        <family val="2"/>
      </rPr>
      <t xml:space="preserve"> =</t>
    </r>
  </si>
  <si>
    <t>Farbgruppe II</t>
  </si>
  <si>
    <t>Rechengröße</t>
  </si>
  <si>
    <t>Rechenhilfe</t>
  </si>
  <si>
    <r>
      <t>f</t>
    </r>
    <r>
      <rPr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 =</t>
    </r>
  </si>
  <si>
    <t>für/for:</t>
  </si>
  <si>
    <r>
      <t>t</t>
    </r>
    <r>
      <rPr>
        <vertAlign val="subscript"/>
        <sz val="10"/>
        <rFont val="Arial"/>
        <family val="2"/>
      </rPr>
      <t>C,Endauflager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</si>
  <si>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S,Endauflager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</si>
  <si>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S,Zwischenaflager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</si>
  <si>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C,Zwischenauflager</t>
    </r>
    <r>
      <rPr>
        <sz val="10"/>
        <rFont val="Arial"/>
        <family val="2"/>
      </rPr>
      <t xml:space="preserve"> =</t>
    </r>
  </si>
  <si>
    <r>
      <rPr>
        <sz val="10"/>
        <rFont val="Symbol"/>
        <family val="1"/>
        <charset val="2"/>
      </rPr>
      <t>b</t>
    </r>
    <r>
      <rPr>
        <sz val="10"/>
        <rFont val="Arial"/>
        <family val="2"/>
      </rPr>
      <t xml:space="preserve"> =</t>
    </r>
  </si>
  <si>
    <t>Ermittlung Schnittgrößen und Spannungen</t>
  </si>
  <si>
    <t>Determination of the internal force variable and</t>
  </si>
  <si>
    <t>1 = deutsch/german, 2 = englisch/english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</si>
  <si>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</si>
  <si>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</si>
  <si>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außen</t>
    </r>
    <r>
      <rPr>
        <sz val="10"/>
        <rFont val="Arial"/>
        <family val="2"/>
      </rPr>
      <t xml:space="preserve"> (Index 1)</t>
    </r>
  </si>
  <si>
    <r>
      <t>innen</t>
    </r>
    <r>
      <rPr>
        <sz val="10"/>
        <rFont val="Arial"/>
        <family val="2"/>
      </rPr>
      <t xml:space="preserve"> (Index 2)</t>
    </r>
  </si>
  <si>
    <r>
      <t>outer face</t>
    </r>
    <r>
      <rPr>
        <sz val="10"/>
        <rFont val="Arial"/>
        <family val="2"/>
      </rPr>
      <t>(Index 1)</t>
    </r>
  </si>
  <si>
    <r>
      <t>inner face</t>
    </r>
    <r>
      <rPr>
        <sz val="10"/>
        <rFont val="Arial"/>
        <family val="2"/>
      </rPr>
      <t xml:space="preserve"> (Index 2)</t>
    </r>
  </si>
  <si>
    <r>
      <t>A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=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</si>
  <si>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</t>
    </r>
  </si>
  <si>
    <r>
      <t>I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=</t>
    </r>
  </si>
  <si>
    <r>
      <t>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/m</t>
    </r>
  </si>
  <si>
    <r>
      <t>d</t>
    </r>
    <r>
      <rPr>
        <vertAlign val="subscript"/>
        <sz val="10"/>
        <rFont val="Arial"/>
        <family val="2"/>
      </rPr>
      <t>i1</t>
    </r>
    <r>
      <rPr>
        <sz val="10"/>
        <rFont val="Arial"/>
        <family val="2"/>
      </rPr>
      <t xml:space="preserve"> =</t>
    </r>
  </si>
  <si>
    <t>Upper edge distance</t>
  </si>
  <si>
    <r>
      <t>d</t>
    </r>
    <r>
      <rPr>
        <vertAlign val="subscript"/>
        <sz val="10"/>
        <rFont val="Arial"/>
        <family val="2"/>
      </rPr>
      <t>i2</t>
    </r>
    <r>
      <rPr>
        <sz val="10"/>
        <rFont val="Arial"/>
        <family val="2"/>
      </rPr>
      <t xml:space="preserve"> =</t>
    </r>
  </si>
  <si>
    <t>lower edge distance</t>
  </si>
  <si>
    <r>
      <t>E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</si>
  <si>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Ti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</si>
  <si>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</si>
  <si>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q =</t>
  </si>
  <si>
    <t>Gleichstreckenlast</t>
  </si>
  <si>
    <t>Uniformly distributed load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</si>
  <si>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</si>
  <si>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°C</t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</si>
  <si>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</si>
  <si>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Temperatur innen</t>
  </si>
  <si>
    <t>Temperature inner face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</si>
  <si>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</si>
  <si>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t>k =</t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</si>
  <si>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</si>
  <si>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</si>
  <si>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r>
      <t>M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</si>
  <si>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</si>
  <si>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</si>
  <si>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</si>
  <si>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</si>
  <si>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w =</t>
  </si>
  <si>
    <t>Deflection</t>
  </si>
  <si>
    <t>Normalspannungen oberes Deckblech</t>
  </si>
  <si>
    <t>Longitudinal stress in outer face</t>
  </si>
  <si>
    <t>Normalspannungen unters Deckblech</t>
  </si>
  <si>
    <t>Longitudinal stress in  inner face</t>
  </si>
  <si>
    <t>Internal force variables for temperturdifference</t>
  </si>
  <si>
    <t>Longitudinal stress in inner face</t>
  </si>
  <si>
    <t>Skizzen eingefügt und iS-mainz-Version</t>
  </si>
  <si>
    <t>Scetches added and iS-Mainz Version</t>
  </si>
  <si>
    <t>Vorzeichenfehler bei Auflagerreaktionenen infolge Temp. bereinigt</t>
  </si>
  <si>
    <t>Mistake at support reaktion due of temperatur (plus/minus-mistake)</t>
  </si>
  <si>
    <t>von Sandwichbauteilen nach DIN EN 14509</t>
  </si>
  <si>
    <t>stresses of Sandwichpanels according to EN 14509</t>
  </si>
  <si>
    <t>Temperatur außen     ULS/SLS</t>
  </si>
  <si>
    <t>Temperature outer face     ULS/SLS</t>
  </si>
  <si>
    <t>ULS 80 °C</t>
  </si>
  <si>
    <t>Bauteiltyp</t>
  </si>
  <si>
    <t>Deckblech</t>
  </si>
  <si>
    <t>Face</t>
  </si>
  <si>
    <t>profiliertes/profeiled</t>
  </si>
  <si>
    <t>eben/flat</t>
  </si>
  <si>
    <t>Bauteil</t>
  </si>
  <si>
    <t>Construction part</t>
  </si>
  <si>
    <t>Wand/Wall</t>
  </si>
  <si>
    <t>Dach/Roof</t>
  </si>
  <si>
    <t>Element type</t>
  </si>
  <si>
    <t>1 = profiliert, 2 = eben</t>
  </si>
  <si>
    <t>1 = Dach, 2 = Wand</t>
  </si>
  <si>
    <t>Gleichstreckenlast Schnee</t>
  </si>
  <si>
    <t>Uniformly distributed load snow</t>
  </si>
  <si>
    <r>
      <t>G</t>
    </r>
    <r>
      <rPr>
        <vertAlign val="subscript"/>
        <sz val="10"/>
        <rFont val="Arial"/>
        <family val="2"/>
      </rPr>
      <t>C,t</t>
    </r>
    <r>
      <rPr>
        <sz val="10"/>
        <rFont val="Arial"/>
        <family val="2"/>
      </rPr>
      <t xml:space="preserve"> =</t>
    </r>
  </si>
  <si>
    <t>Version 1 (Dezember 2011)</t>
  </si>
  <si>
    <t>Version 1 (December 2011)</t>
  </si>
  <si>
    <t>Version 1 (December2011)</t>
  </si>
  <si>
    <r>
      <t>Sand</t>
    </r>
    <r>
      <rPr>
        <b/>
        <sz val="22"/>
        <color rgb="FF008000"/>
        <rFont val="Arial"/>
        <family val="2"/>
      </rPr>
      <t>EXCEL</t>
    </r>
    <r>
      <rPr>
        <b/>
        <sz val="22"/>
        <rFont val="Arial"/>
        <family val="2"/>
      </rPr>
      <t xml:space="preserve"> I</t>
    </r>
  </si>
  <si>
    <r>
      <t>t</t>
    </r>
    <r>
      <rPr>
        <vertAlign val="subscript"/>
        <sz val="11"/>
        <rFont val="Arial"/>
        <family val="2"/>
      </rPr>
      <t>zinc</t>
    </r>
    <r>
      <rPr>
        <sz val="11"/>
        <rFont val="Arial"/>
        <family val="2"/>
      </rPr>
      <t xml:space="preserve"> =</t>
    </r>
  </si>
  <si>
    <r>
      <t>t</t>
    </r>
    <r>
      <rPr>
        <vertAlign val="subscript"/>
        <sz val="11"/>
        <rFont val="Arial"/>
        <family val="2"/>
      </rPr>
      <t>tol</t>
    </r>
    <r>
      <rPr>
        <sz val="11"/>
        <rFont val="Arial"/>
        <family val="2"/>
      </rPr>
      <t xml:space="preserve"> =</t>
    </r>
  </si>
  <si>
    <t>Toleranz nach DIN EN 10143</t>
  </si>
  <si>
    <t>Tolerance according to EN 10143</t>
  </si>
  <si>
    <t xml:space="preserve">mm  </t>
  </si>
  <si>
    <t>für normale Grenzabmasse (Toleranzen)</t>
  </si>
  <si>
    <t>Bei eingeschränkten Grenzabmassen (Toleranzen) kann für die Tolleranz 0,00 mm eingesetzt werden (nach EN 14509 rev.1).</t>
  </si>
  <si>
    <t>for normel tolerances</t>
  </si>
  <si>
    <t>For special tolerances you can put in 0,00 mm for the tolerance (acc. to EN 14509 rev.1)</t>
  </si>
  <si>
    <t>Example</t>
  </si>
  <si>
    <r>
      <t xml:space="preserve">© </t>
    </r>
    <r>
      <rPr>
        <b/>
        <sz val="8"/>
        <color rgb="FF008000"/>
        <rFont val="Arial"/>
        <family val="2"/>
      </rPr>
      <t>iS-engeneering GmbH</t>
    </r>
    <r>
      <rPr>
        <b/>
        <sz val="8"/>
        <color rgb="FF00B050"/>
        <rFont val="Arial"/>
        <family val="2"/>
      </rPr>
      <t xml:space="preserve"> </t>
    </r>
    <r>
      <rPr>
        <b/>
        <sz val="8"/>
        <rFont val="Arial"/>
        <family val="2"/>
      </rPr>
      <t>/</t>
    </r>
    <r>
      <rPr>
        <b/>
        <sz val="8"/>
        <color rgb="FFFF0000"/>
        <rFont val="Arial"/>
        <family val="2"/>
      </rPr>
      <t xml:space="preserve"> iS-mainz</t>
    </r>
    <r>
      <rPr>
        <b/>
        <sz val="8"/>
        <rFont val="Arial"/>
        <family val="2"/>
      </rPr>
      <t xml:space="preserve">
www.sandwichtechnik.com
email: contact@sandwichtechnik.com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</si>
</sst>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0000"/>
    <numFmt numFmtId="166" formatCode="0.000"/>
    <numFmt numFmtId="167" formatCode="0.0"/>
    <numFmt numFmtId="168" formatCode="mm/yyyy"/>
    <numFmt numFmtId="169" formatCode="0.0000"/>
  </numFmts>
  <fonts count="93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Symbol"/>
      <family val="1"/>
    </font>
    <font>
      <b/>
      <sz val="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vertAlign val="subscript"/>
      <sz val="10"/>
      <name val="Symbol"/>
      <family val="1"/>
    </font>
    <font>
      <b/>
      <sz val="22"/>
      <name val="Arial"/>
      <family val="2"/>
    </font>
    <font>
      <sz val="28"/>
      <color indexed="10"/>
      <name val="Swis721 Ex BT"/>
      <family val="2"/>
    </font>
    <font>
      <sz val="8"/>
      <color indexed="9"/>
      <name val="Arial"/>
      <family val="2"/>
    </font>
    <font>
      <sz val="10"/>
      <name val="Calibri"/>
      <family val="2"/>
    </font>
    <font>
      <b/>
      <sz val="10"/>
      <color rgb="FF0000FF"/>
      <name val="Arial"/>
      <family val="2"/>
    </font>
    <font>
      <sz val="10"/>
      <name val="Symbol"/>
      <family val="1"/>
      <charset val="2"/>
    </font>
    <font>
      <sz val="11.2"/>
      <name val="Arial"/>
      <family val="2"/>
    </font>
    <font>
      <vertAlign val="subscript"/>
      <sz val="10"/>
      <name val="Symbol"/>
      <family val="1"/>
      <charset val="2"/>
    </font>
    <font>
      <vertAlign val="subscript"/>
      <sz val="10"/>
      <name val="Cambria"/>
      <family val="1"/>
    </font>
    <font>
      <sz val="18"/>
      <name val="Arial"/>
      <family val="2"/>
    </font>
    <font>
      <b/>
      <sz val="10"/>
      <color rgb="FF0033CC"/>
      <name val="Arial"/>
      <family val="2"/>
    </font>
    <font>
      <b/>
      <sz val="12"/>
      <name val="Arial"/>
      <family val="2"/>
    </font>
    <font>
      <b/>
      <sz val="12"/>
      <color rgb="FF0033CC"/>
      <name val="Arial"/>
      <family val="2"/>
    </font>
    <font>
      <sz val="11"/>
      <color rgb="FF9C0006"/>
      <name val="Calibri"/>
      <family val="2"/>
      <scheme val="minor"/>
    </font>
    <font>
      <b/>
      <sz val="14"/>
      <color rgb="FF0033CC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u/>
      <sz val="12"/>
      <color rgb="FF0033CC"/>
      <name val="Arial"/>
      <family val="2"/>
    </font>
    <font>
      <b/>
      <sz val="16"/>
      <color rgb="FF0033CC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000000"/>
      <name val="Tahoma"/>
      <family val="2"/>
    </font>
    <font>
      <sz val="12"/>
      <color rgb="FF99FF66"/>
      <name val="Arial"/>
      <family val="2"/>
    </font>
    <font>
      <b/>
      <sz val="16"/>
      <color theme="0"/>
      <name val="Arial"/>
      <family val="2"/>
    </font>
    <font>
      <sz val="14"/>
      <color rgb="FF0033CC"/>
      <name val="Arial"/>
      <family val="2"/>
    </font>
    <font>
      <sz val="16"/>
      <color rgb="FF0033CC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sz val="14"/>
      <name val="Symbol"/>
      <family val="1"/>
      <charset val="2"/>
    </font>
    <font>
      <vertAlign val="subscript"/>
      <sz val="14"/>
      <name val="Cambria"/>
      <family val="1"/>
    </font>
    <font>
      <vertAlign val="subscript"/>
      <sz val="14"/>
      <name val="Symbol"/>
      <family val="1"/>
      <charset val="2"/>
    </font>
    <font>
      <b/>
      <sz val="14"/>
      <color indexed="9"/>
      <name val="Arial"/>
      <family val="2"/>
    </font>
    <font>
      <b/>
      <sz val="14"/>
      <name val="Symbol"/>
      <family val="1"/>
      <charset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rgb="FF0033CC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11"/>
      <name val="Symbol"/>
      <family val="1"/>
    </font>
    <font>
      <sz val="11"/>
      <name val="Symbol"/>
      <family val="1"/>
      <charset val="2"/>
    </font>
    <font>
      <i/>
      <sz val="14"/>
      <name val="Arial"/>
      <family val="2"/>
    </font>
    <font>
      <sz val="14"/>
      <color indexed="9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b/>
      <sz val="18"/>
      <color rgb="FF0033CC"/>
      <name val="Arial"/>
      <family val="2"/>
    </font>
    <font>
      <b/>
      <sz val="18"/>
      <color theme="0"/>
      <name val="Arial"/>
      <family val="2"/>
    </font>
    <font>
      <sz val="18"/>
      <color rgb="FF0033CC"/>
      <name val="Arial"/>
      <family val="2"/>
    </font>
    <font>
      <b/>
      <u/>
      <sz val="18"/>
      <color rgb="FF0033CC"/>
      <name val="Arial"/>
      <family val="2"/>
    </font>
    <font>
      <b/>
      <sz val="20"/>
      <color rgb="FF0033CC"/>
      <name val="Arial"/>
      <family val="2"/>
    </font>
    <font>
      <b/>
      <sz val="18"/>
      <color theme="0"/>
      <name val="Calibri"/>
      <family val="2"/>
      <scheme val="minor"/>
    </font>
    <font>
      <sz val="16"/>
      <color theme="0"/>
      <name val="Arial"/>
      <family val="2"/>
    </font>
    <font>
      <sz val="16"/>
      <color rgb="FF00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Times New Roman"/>
      <family val="1"/>
    </font>
    <font>
      <b/>
      <sz val="10"/>
      <color indexed="12"/>
      <name val="Symbol"/>
      <family val="1"/>
      <charset val="2"/>
    </font>
    <font>
      <b/>
      <sz val="10"/>
      <color rgb="FF008000"/>
      <name val="Arial"/>
      <family val="2"/>
    </font>
    <font>
      <b/>
      <sz val="22"/>
      <color rgb="FF008000"/>
      <name val="Arial"/>
      <family val="2"/>
    </font>
    <font>
      <b/>
      <sz val="8"/>
      <color rgb="FF008000"/>
      <name val="Arial"/>
      <family val="2"/>
    </font>
    <font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00"/>
      </bottom>
      <diagonal/>
    </border>
    <border>
      <left/>
      <right style="thin">
        <color indexed="64"/>
      </right>
      <top style="thin">
        <color indexed="64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rgb="FF0033CC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rgb="FF0033CC"/>
      </right>
      <top/>
      <bottom style="thin">
        <color indexed="64"/>
      </bottom>
      <diagonal/>
    </border>
    <border>
      <left/>
      <right style="thin">
        <color rgb="FF0033C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medium">
        <color rgb="FF0033CC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medium">
        <color rgb="FF0033CC"/>
      </bottom>
      <diagonal/>
    </border>
    <border>
      <left style="thin">
        <color rgb="FF0033CC"/>
      </left>
      <right style="thin">
        <color indexed="64"/>
      </right>
      <top style="thin">
        <color indexed="64"/>
      </top>
      <bottom/>
      <diagonal/>
    </border>
    <border>
      <left style="thin">
        <color rgb="FF0033CC"/>
      </left>
      <right style="thin">
        <color indexed="64"/>
      </right>
      <top/>
      <bottom/>
      <diagonal/>
    </border>
    <border>
      <left style="thin">
        <color rgb="FF0033CC"/>
      </left>
      <right style="thin">
        <color indexed="64"/>
      </right>
      <top/>
      <bottom style="medium">
        <color rgb="FF0033CC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rgb="FF0033CC"/>
      </right>
      <top style="thin">
        <color indexed="64"/>
      </top>
      <bottom style="medium">
        <color rgb="FF0033CC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rgb="FF0033CC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rgb="FF0033C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theme="0"/>
      </left>
      <right style="thin">
        <color theme="0"/>
      </right>
      <top style="thin">
        <color rgb="FF0033CC"/>
      </top>
      <bottom style="thin">
        <color theme="0"/>
      </bottom>
      <diagonal/>
    </border>
    <border>
      <left style="thin">
        <color theme="0"/>
      </left>
      <right style="thin">
        <color rgb="FF0033CC"/>
      </right>
      <top style="thin">
        <color rgb="FF0033CC"/>
      </top>
      <bottom style="thin">
        <color theme="0"/>
      </bottom>
      <diagonal/>
    </border>
    <border>
      <left style="thin">
        <color theme="0"/>
      </left>
      <right style="thin">
        <color rgb="FF0033CC"/>
      </right>
      <top style="thin">
        <color theme="0"/>
      </top>
      <bottom style="thin">
        <color theme="0"/>
      </bottom>
      <diagonal/>
    </border>
    <border>
      <left style="thin">
        <color rgb="FF0033CC"/>
      </left>
      <right style="thin">
        <color theme="0"/>
      </right>
      <top style="thin">
        <color theme="0"/>
      </top>
      <bottom style="thin">
        <color rgb="FF0033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33C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rgb="FF0033CC"/>
      </right>
      <top style="thin">
        <color theme="0"/>
      </top>
      <bottom/>
      <diagonal/>
    </border>
    <border>
      <left style="thin">
        <color rgb="FF0033CC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0033CC"/>
      </right>
      <top/>
      <bottom style="thin">
        <color theme="0"/>
      </bottom>
      <diagonal/>
    </border>
    <border>
      <left style="medium">
        <color rgb="FFCCFFCC"/>
      </left>
      <right style="thin">
        <color theme="0"/>
      </right>
      <top style="medium">
        <color rgb="FFCCFFCC"/>
      </top>
      <bottom style="thin">
        <color theme="0"/>
      </bottom>
      <diagonal/>
    </border>
    <border>
      <left style="thin">
        <color theme="0"/>
      </left>
      <right style="medium">
        <color rgb="FFCCFFCC"/>
      </right>
      <top style="medium">
        <color rgb="FFCCFFCC"/>
      </top>
      <bottom style="thin">
        <color theme="0"/>
      </bottom>
      <diagonal/>
    </border>
    <border>
      <left style="medium">
        <color rgb="FFCCFFC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CCFFCC"/>
      </right>
      <top style="thin">
        <color theme="0"/>
      </top>
      <bottom style="thin">
        <color theme="0"/>
      </bottom>
      <diagonal/>
    </border>
    <border>
      <left style="medium">
        <color rgb="FFCCFFCC"/>
      </left>
      <right style="thin">
        <color theme="0"/>
      </right>
      <top style="thin">
        <color theme="0"/>
      </top>
      <bottom style="medium">
        <color rgb="FFCCFFCC"/>
      </bottom>
      <diagonal/>
    </border>
    <border>
      <left style="thin">
        <color theme="0"/>
      </left>
      <right style="medium">
        <color rgb="FFCCFFCC"/>
      </right>
      <top style="thin">
        <color theme="0"/>
      </top>
      <bottom style="medium">
        <color rgb="FFCCFFCC"/>
      </bottom>
      <diagonal/>
    </border>
    <border>
      <left style="medium">
        <color rgb="FFCCFFCC"/>
      </left>
      <right style="medium">
        <color rgb="FFCCFFCC"/>
      </right>
      <top style="medium">
        <color rgb="FFCCFFCC"/>
      </top>
      <bottom style="thin">
        <color theme="0"/>
      </bottom>
      <diagonal/>
    </border>
    <border>
      <left style="medium">
        <color rgb="FFCCFFCC"/>
      </left>
      <right style="medium">
        <color rgb="FFCCFFCC"/>
      </right>
      <top style="thin">
        <color theme="0"/>
      </top>
      <bottom style="thin">
        <color theme="0"/>
      </bottom>
      <diagonal/>
    </border>
    <border>
      <left style="medium">
        <color rgb="FFCCFFCC"/>
      </left>
      <right style="medium">
        <color rgb="FFCCFFCC"/>
      </right>
      <top style="thin">
        <color theme="0"/>
      </top>
      <bottom style="medium">
        <color rgb="FFCCFF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FF66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FF6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theme="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</borders>
  <cellStyleXfs count="3">
    <xf numFmtId="0" fontId="0" fillId="0" borderId="0"/>
    <xf numFmtId="0" fontId="33" fillId="8" borderId="0" applyNumberFormat="0" applyBorder="0" applyAlignment="0" applyProtection="0"/>
    <xf numFmtId="0" fontId="1" fillId="0" borderId="0"/>
  </cellStyleXfs>
  <cellXfs count="524">
    <xf numFmtId="0" fontId="0" fillId="0" borderId="0" xfId="0"/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66" fontId="9" fillId="0" borderId="0" xfId="0" applyNumberFormat="1" applyFont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6" fontId="13" fillId="0" borderId="0" xfId="0" applyNumberFormat="1" applyFont="1" applyAlignment="1" applyProtection="1">
      <alignment horizontal="center"/>
      <protection hidden="1"/>
    </xf>
    <xf numFmtId="11" fontId="13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9" fillId="0" borderId="0" xfId="0" applyFont="1"/>
    <xf numFmtId="0" fontId="9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protection hidden="1"/>
    </xf>
    <xf numFmtId="166" fontId="9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11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right" vertical="top"/>
      <protection hidden="1"/>
    </xf>
    <xf numFmtId="11" fontId="21" fillId="0" borderId="0" xfId="0" applyNumberFormat="1" applyFont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5" fillId="0" borderId="0" xfId="0" applyFont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168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3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9" fillId="0" borderId="3" xfId="0" applyFont="1" applyBorder="1" applyAlignment="1" applyProtection="1">
      <alignment horizontal="right"/>
      <protection hidden="1"/>
    </xf>
    <xf numFmtId="0" fontId="0" fillId="0" borderId="3" xfId="0" applyBorder="1"/>
    <xf numFmtId="0" fontId="9" fillId="0" borderId="3" xfId="0" applyFont="1" applyBorder="1" applyAlignment="1">
      <alignment horizontal="right"/>
    </xf>
    <xf numFmtId="0" fontId="0" fillId="0" borderId="15" xfId="0" applyBorder="1"/>
    <xf numFmtId="0" fontId="0" fillId="0" borderId="8" xfId="0" applyBorder="1"/>
    <xf numFmtId="0" fontId="0" fillId="0" borderId="4" xfId="0" applyBorder="1"/>
    <xf numFmtId="0" fontId="0" fillId="0" borderId="18" xfId="0" applyBorder="1"/>
    <xf numFmtId="166" fontId="0" fillId="0" borderId="3" xfId="0" applyNumberFormat="1" applyBorder="1"/>
    <xf numFmtId="11" fontId="0" fillId="0" borderId="27" xfId="0" applyNumberForma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/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9" fillId="0" borderId="3" xfId="0" applyFont="1" applyBorder="1"/>
    <xf numFmtId="0" fontId="0" fillId="0" borderId="3" xfId="0" applyBorder="1" applyAlignment="1"/>
    <xf numFmtId="0" fontId="5" fillId="0" borderId="3" xfId="0" applyFont="1" applyBorder="1" applyAlignment="1" applyProtection="1">
      <alignment horizontal="right"/>
      <protection hidden="1"/>
    </xf>
    <xf numFmtId="166" fontId="0" fillId="0" borderId="3" xfId="0" applyNumberFormat="1" applyBorder="1" applyAlignment="1">
      <alignment horizontal="center"/>
    </xf>
    <xf numFmtId="0" fontId="13" fillId="0" borderId="0" xfId="0" applyFont="1" applyAlignment="1" applyProtection="1">
      <alignment horizontal="left"/>
      <protection hidden="1"/>
    </xf>
    <xf numFmtId="0" fontId="5" fillId="0" borderId="3" xfId="0" applyFont="1" applyBorder="1" applyProtection="1">
      <protection hidden="1"/>
    </xf>
    <xf numFmtId="0" fontId="9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167" fontId="1" fillId="0" borderId="3" xfId="0" applyNumberFormat="1" applyFont="1" applyBorder="1" applyAlignment="1" applyProtection="1">
      <alignment horizontal="center"/>
      <protection hidden="1"/>
    </xf>
    <xf numFmtId="0" fontId="0" fillId="0" borderId="3" xfId="0" applyNumberFormat="1" applyBorder="1"/>
    <xf numFmtId="166" fontId="1" fillId="0" borderId="3" xfId="0" applyNumberFormat="1" applyFont="1" applyBorder="1" applyAlignment="1" applyProtection="1">
      <alignment horizontal="center"/>
      <protection hidden="1"/>
    </xf>
    <xf numFmtId="167" fontId="1" fillId="0" borderId="3" xfId="0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/>
    <xf numFmtId="166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23" fillId="0" borderId="3" xfId="0" applyFont="1" applyBorder="1" applyAlignment="1">
      <alignment horizontal="right"/>
    </xf>
    <xf numFmtId="166" fontId="9" fillId="0" borderId="3" xfId="0" applyNumberFormat="1" applyFont="1" applyBorder="1" applyAlignment="1" applyProtection="1">
      <alignment horizontal="center"/>
      <protection hidden="1"/>
    </xf>
    <xf numFmtId="167" fontId="1" fillId="0" borderId="3" xfId="0" applyNumberFormat="1" applyFont="1" applyBorder="1" applyAlignment="1" applyProtection="1">
      <alignment horizontal="center" vertical="center"/>
      <protection hidden="1"/>
    </xf>
    <xf numFmtId="0" fontId="24" fillId="0" borderId="3" xfId="0" applyFont="1" applyBorder="1"/>
    <xf numFmtId="166" fontId="3" fillId="0" borderId="3" xfId="0" applyNumberFormat="1" applyFont="1" applyBorder="1" applyAlignment="1" applyProtection="1">
      <alignment horizontal="center"/>
      <protection hidden="1"/>
    </xf>
    <xf numFmtId="164" fontId="1" fillId="0" borderId="3" xfId="0" applyNumberFormat="1" applyFont="1" applyBorder="1" applyAlignment="1" applyProtection="1">
      <alignment horizontal="right"/>
      <protection hidden="1"/>
    </xf>
    <xf numFmtId="0" fontId="23" fillId="0" borderId="3" xfId="0" applyFont="1" applyBorder="1" applyAlignment="1">
      <alignment horizontal="right" vertical="center"/>
    </xf>
    <xf numFmtId="2" fontId="3" fillId="0" borderId="3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66" fontId="0" fillId="0" borderId="18" xfId="0" applyNumberFormat="1" applyBorder="1"/>
    <xf numFmtId="0" fontId="25" fillId="0" borderId="18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1" fillId="10" borderId="68" xfId="0" applyFont="1" applyFill="1" applyBorder="1"/>
    <xf numFmtId="0" fontId="0" fillId="0" borderId="69" xfId="0" applyBorder="1"/>
    <xf numFmtId="0" fontId="5" fillId="0" borderId="70" xfId="0" applyFont="1" applyBorder="1" applyAlignment="1" applyProtection="1">
      <alignment horizontal="center"/>
      <protection hidden="1"/>
    </xf>
    <xf numFmtId="0" fontId="0" fillId="0" borderId="70" xfId="0" applyBorder="1"/>
    <xf numFmtId="0" fontId="0" fillId="0" borderId="72" xfId="0" applyBorder="1"/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25" fillId="0" borderId="71" xfId="0" applyFont="1" applyBorder="1" applyAlignment="1">
      <alignment horizontal="center"/>
    </xf>
    <xf numFmtId="166" fontId="0" fillId="0" borderId="71" xfId="0" applyNumberFormat="1" applyBorder="1"/>
    <xf numFmtId="166" fontId="0" fillId="0" borderId="73" xfId="0" applyNumberFormat="1" applyBorder="1"/>
    <xf numFmtId="2" fontId="1" fillId="0" borderId="3" xfId="0" applyNumberFormat="1" applyFont="1" applyBorder="1" applyAlignment="1" applyProtection="1">
      <alignment horizontal="center"/>
      <protection hidden="1"/>
    </xf>
    <xf numFmtId="2" fontId="1" fillId="0" borderId="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66" fontId="1" fillId="0" borderId="0" xfId="0" applyNumberFormat="1" applyFont="1" applyAlignment="1" applyProtection="1">
      <alignment horizontal="left"/>
      <protection hidden="1"/>
    </xf>
    <xf numFmtId="169" fontId="3" fillId="0" borderId="0" xfId="0" applyNumberFormat="1" applyFont="1" applyAlignment="1" applyProtection="1">
      <alignment horizontal="center"/>
      <protection hidden="1"/>
    </xf>
    <xf numFmtId="169" fontId="3" fillId="0" borderId="0" xfId="0" applyNumberFormat="1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right" vertical="top" wrapText="1"/>
      <protection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7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83" xfId="0" applyBorder="1" applyProtection="1">
      <protection hidden="1"/>
    </xf>
    <xf numFmtId="0" fontId="0" fillId="0" borderId="83" xfId="0" applyBorder="1" applyAlignment="1" applyProtection="1">
      <alignment horizontal="right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83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right"/>
      <protection hidden="1"/>
    </xf>
    <xf numFmtId="11" fontId="0" fillId="0" borderId="0" xfId="0" applyNumberForma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/>
    <xf numFmtId="165" fontId="1" fillId="0" borderId="0" xfId="0" applyNumberFormat="1" applyFont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 applyProtection="1">
      <alignment wrapText="1"/>
      <protection hidden="1"/>
    </xf>
    <xf numFmtId="0" fontId="88" fillId="0" borderId="0" xfId="0" applyFont="1" applyAlignment="1" applyProtection="1">
      <alignment horizontal="right"/>
      <protection hidden="1"/>
    </xf>
    <xf numFmtId="168" fontId="0" fillId="0" borderId="0" xfId="0" applyNumberFormat="1" applyAlignment="1" applyProtection="1">
      <alignment horizontal="center"/>
      <protection hidden="1"/>
    </xf>
    <xf numFmtId="166" fontId="3" fillId="9" borderId="2" xfId="0" applyNumberFormat="1" applyFont="1" applyFill="1" applyBorder="1" applyAlignment="1" applyProtection="1">
      <alignment horizontal="center"/>
      <protection locked="0" hidden="1"/>
    </xf>
    <xf numFmtId="11" fontId="3" fillId="9" borderId="2" xfId="0" applyNumberFormat="1" applyFont="1" applyFill="1" applyBorder="1" applyAlignment="1" applyProtection="1">
      <alignment horizontal="center"/>
      <protection locked="0" hidden="1"/>
    </xf>
    <xf numFmtId="2" fontId="3" fillId="9" borderId="0" xfId="0" applyNumberFormat="1" applyFont="1" applyFill="1" applyAlignment="1" applyProtection="1">
      <alignment horizontal="center"/>
      <protection locked="0" hidden="1"/>
    </xf>
    <xf numFmtId="1" fontId="3" fillId="9" borderId="0" xfId="0" applyNumberFormat="1" applyFont="1" applyFill="1" applyAlignment="1" applyProtection="1">
      <alignment horizontal="center"/>
      <protection locked="0" hidden="1"/>
    </xf>
    <xf numFmtId="166" fontId="3" fillId="9" borderId="0" xfId="0" applyNumberFormat="1" applyFont="1" applyFill="1" applyAlignment="1" applyProtection="1">
      <alignment horizontal="center"/>
      <protection locked="0" hidden="1"/>
    </xf>
    <xf numFmtId="167" fontId="3" fillId="9" borderId="0" xfId="0" applyNumberFormat="1" applyFont="1" applyFill="1" applyAlignment="1" applyProtection="1">
      <alignment horizontal="center"/>
      <protection locked="0" hidden="1"/>
    </xf>
    <xf numFmtId="2" fontId="64" fillId="9" borderId="0" xfId="2" applyNumberFormat="1" applyFont="1" applyFill="1" applyBorder="1" applyAlignment="1" applyProtection="1">
      <alignment horizontal="center"/>
      <protection locked="0" hidden="1"/>
    </xf>
    <xf numFmtId="0" fontId="3" fillId="9" borderId="0" xfId="0" applyFont="1" applyFill="1" applyAlignment="1" applyProtection="1">
      <alignment horizontal="center"/>
      <protection locked="0" hidden="1"/>
    </xf>
    <xf numFmtId="167" fontId="3" fillId="9" borderId="0" xfId="0" applyNumberFormat="1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0" fillId="0" borderId="3" xfId="0" applyBorder="1" applyProtection="1"/>
    <xf numFmtId="0" fontId="0" fillId="0" borderId="15" xfId="0" applyBorder="1" applyProtection="1"/>
    <xf numFmtId="0" fontId="0" fillId="0" borderId="3" xfId="0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12" fillId="0" borderId="3" xfId="0" applyFont="1" applyBorder="1" applyProtection="1"/>
    <xf numFmtId="0" fontId="9" fillId="0" borderId="3" xfId="0" applyFont="1" applyBorder="1" applyProtection="1"/>
    <xf numFmtId="0" fontId="3" fillId="0" borderId="3" xfId="0" applyFont="1" applyBorder="1" applyProtection="1"/>
    <xf numFmtId="0" fontId="89" fillId="0" borderId="15" xfId="0" applyFont="1" applyBorder="1" applyAlignment="1" applyProtection="1">
      <alignment vertical="top"/>
    </xf>
    <xf numFmtId="0" fontId="8" fillId="0" borderId="3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vertical="top" wrapText="1"/>
    </xf>
    <xf numFmtId="0" fontId="16" fillId="0" borderId="3" xfId="0" applyFont="1" applyBorder="1" applyAlignment="1" applyProtection="1">
      <alignment horizontal="right" vertical="top" wrapText="1"/>
    </xf>
    <xf numFmtId="0" fontId="11" fillId="0" borderId="3" xfId="0" applyFont="1" applyBorder="1" applyProtection="1"/>
    <xf numFmtId="0" fontId="8" fillId="0" borderId="3" xfId="0" applyFont="1" applyBorder="1" applyAlignment="1" applyProtection="1">
      <alignment vertical="top"/>
    </xf>
    <xf numFmtId="0" fontId="2" fillId="0" borderId="3" xfId="0" applyFont="1" applyBorder="1" applyProtection="1"/>
    <xf numFmtId="0" fontId="20" fillId="0" borderId="3" xfId="0" applyFont="1" applyBorder="1" applyAlignment="1" applyProtection="1"/>
    <xf numFmtId="0" fontId="10" fillId="0" borderId="3" xfId="0" applyFont="1" applyBorder="1" applyProtection="1"/>
    <xf numFmtId="0" fontId="17" fillId="0" borderId="3" xfId="0" applyFont="1" applyBorder="1" applyAlignment="1" applyProtection="1"/>
    <xf numFmtId="0" fontId="2" fillId="0" borderId="3" xfId="0" applyFont="1" applyBorder="1" applyAlignment="1" applyProtection="1">
      <alignment vertical="top"/>
    </xf>
    <xf numFmtId="0" fontId="17" fillId="0" borderId="3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center" vertical="top"/>
    </xf>
    <xf numFmtId="0" fontId="20" fillId="0" borderId="18" xfId="0" applyFont="1" applyBorder="1" applyAlignment="1" applyProtection="1">
      <alignment horizontal="center" vertical="top"/>
    </xf>
    <xf numFmtId="0" fontId="20" fillId="0" borderId="3" xfId="0" applyFont="1" applyBorder="1" applyAlignment="1" applyProtection="1">
      <alignment horizontal="center" vertical="top"/>
    </xf>
    <xf numFmtId="0" fontId="20" fillId="0" borderId="36" xfId="0" applyFont="1" applyBorder="1" applyAlignment="1" applyProtection="1">
      <alignment horizontal="center" vertical="top"/>
    </xf>
    <xf numFmtId="0" fontId="20" fillId="0" borderId="26" xfId="0" applyFont="1" applyBorder="1" applyAlignment="1" applyProtection="1">
      <alignment horizontal="center" vertical="top"/>
    </xf>
    <xf numFmtId="0" fontId="10" fillId="0" borderId="20" xfId="0" applyFont="1" applyBorder="1" applyProtection="1"/>
    <xf numFmtId="0" fontId="20" fillId="0" borderId="15" xfId="0" applyFont="1" applyBorder="1" applyAlignment="1" applyProtection="1">
      <alignment horizontal="center" vertical="top"/>
    </xf>
    <xf numFmtId="0" fontId="43" fillId="0" borderId="53" xfId="0" applyFont="1" applyBorder="1" applyAlignment="1" applyProtection="1">
      <alignment vertical="center"/>
    </xf>
    <xf numFmtId="0" fontId="20" fillId="0" borderId="48" xfId="0" applyFont="1" applyBorder="1" applyAlignment="1" applyProtection="1">
      <alignment horizontal="center" vertical="top"/>
    </xf>
    <xf numFmtId="0" fontId="20" fillId="0" borderId="37" xfId="0" applyFont="1" applyBorder="1" applyAlignment="1" applyProtection="1">
      <alignment horizontal="center" vertical="top"/>
    </xf>
    <xf numFmtId="0" fontId="10" fillId="0" borderId="48" xfId="0" applyFont="1" applyBorder="1" applyProtection="1"/>
    <xf numFmtId="0" fontId="10" fillId="0" borderId="15" xfId="0" applyFont="1" applyBorder="1" applyProtection="1"/>
    <xf numFmtId="0" fontId="9" fillId="0" borderId="18" xfId="0" applyFont="1" applyBorder="1" applyProtection="1"/>
    <xf numFmtId="0" fontId="9" fillId="0" borderId="3" xfId="0" applyFont="1" applyBorder="1" applyAlignment="1" applyProtection="1">
      <alignment vertical="center"/>
    </xf>
    <xf numFmtId="0" fontId="2" fillId="0" borderId="6" xfId="0" applyFont="1" applyBorder="1" applyProtection="1"/>
    <xf numFmtId="0" fontId="34" fillId="0" borderId="54" xfId="0" applyFont="1" applyBorder="1" applyAlignment="1" applyProtection="1">
      <alignment vertical="center"/>
    </xf>
    <xf numFmtId="0" fontId="34" fillId="0" borderId="49" xfId="0" applyFont="1" applyBorder="1" applyAlignment="1" applyProtection="1">
      <alignment vertical="center"/>
    </xf>
    <xf numFmtId="0" fontId="52" fillId="0" borderId="31" xfId="0" applyFont="1" applyBorder="1" applyAlignment="1" applyProtection="1">
      <alignment horizontal="left" vertical="center"/>
    </xf>
    <xf numFmtId="0" fontId="52" fillId="6" borderId="33" xfId="0" applyFont="1" applyFill="1" applyBorder="1" applyAlignment="1" applyProtection="1">
      <alignment horizontal="center" vertical="center"/>
    </xf>
    <xf numFmtId="0" fontId="52" fillId="6" borderId="35" xfId="0" applyFont="1" applyFill="1" applyBorder="1" applyAlignment="1" applyProtection="1">
      <alignment horizontal="center" vertical="center"/>
    </xf>
    <xf numFmtId="0" fontId="61" fillId="0" borderId="19" xfId="0" applyFont="1" applyBorder="1" applyProtection="1"/>
    <xf numFmtId="0" fontId="10" fillId="0" borderId="25" xfId="0" applyFont="1" applyBorder="1" applyProtection="1"/>
    <xf numFmtId="0" fontId="10" fillId="0" borderId="6" xfId="0" applyFont="1" applyBorder="1" applyProtection="1"/>
    <xf numFmtId="0" fontId="3" fillId="6" borderId="64" xfId="0" applyFont="1" applyFill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top"/>
    </xf>
    <xf numFmtId="0" fontId="51" fillId="0" borderId="55" xfId="0" applyFont="1" applyBorder="1" applyProtection="1"/>
    <xf numFmtId="0" fontId="51" fillId="0" borderId="38" xfId="0" applyFont="1" applyBorder="1" applyAlignment="1" applyProtection="1">
      <alignment horizontal="right"/>
    </xf>
    <xf numFmtId="0" fontId="51" fillId="0" borderId="1" xfId="0" applyFont="1" applyBorder="1" applyAlignment="1" applyProtection="1">
      <alignment horizontal="left"/>
    </xf>
    <xf numFmtId="166" fontId="51" fillId="0" borderId="17" xfId="0" applyNumberFormat="1" applyFont="1" applyBorder="1" applyProtection="1"/>
    <xf numFmtId="166" fontId="51" fillId="0" borderId="40" xfId="0" applyNumberFormat="1" applyFont="1" applyBorder="1" applyProtection="1"/>
    <xf numFmtId="166" fontId="51" fillId="0" borderId="16" xfId="0" applyNumberFormat="1" applyFont="1" applyBorder="1" applyProtection="1"/>
    <xf numFmtId="0" fontId="51" fillId="0" borderId="15" xfId="0" applyFont="1" applyBorder="1" applyAlignment="1" applyProtection="1">
      <alignment horizontal="left"/>
    </xf>
    <xf numFmtId="0" fontId="51" fillId="0" borderId="39" xfId="0" applyFont="1" applyBorder="1" applyAlignment="1" applyProtection="1">
      <alignment horizontal="right"/>
    </xf>
    <xf numFmtId="0" fontId="51" fillId="0" borderId="24" xfId="0" applyFont="1" applyBorder="1" applyAlignment="1" applyProtection="1">
      <alignment horizontal="left"/>
    </xf>
    <xf numFmtId="0" fontId="20" fillId="0" borderId="25" xfId="0" applyFont="1" applyBorder="1" applyAlignment="1" applyProtection="1">
      <alignment horizontal="center" vertical="top"/>
    </xf>
    <xf numFmtId="0" fontId="51" fillId="0" borderId="15" xfId="0" applyFont="1" applyBorder="1" applyAlignment="1" applyProtection="1">
      <alignment horizontal="center" vertical="top"/>
    </xf>
    <xf numFmtId="0" fontId="20" fillId="0" borderId="21" xfId="0" applyFont="1" applyBorder="1" applyAlignment="1" applyProtection="1">
      <alignment horizontal="center" vertical="top"/>
    </xf>
    <xf numFmtId="0" fontId="51" fillId="0" borderId="55" xfId="0" applyFont="1" applyBorder="1" applyAlignment="1" applyProtection="1"/>
    <xf numFmtId="0" fontId="55" fillId="0" borderId="39" xfId="0" applyFont="1" applyBorder="1" applyAlignment="1" applyProtection="1">
      <alignment horizontal="right"/>
    </xf>
    <xf numFmtId="0" fontId="55" fillId="0" borderId="15" xfId="0" applyFont="1" applyBorder="1" applyAlignment="1" applyProtection="1">
      <alignment horizontal="left"/>
    </xf>
    <xf numFmtId="169" fontId="51" fillId="0" borderId="17" xfId="0" applyNumberFormat="1" applyFont="1" applyBorder="1" applyProtection="1"/>
    <xf numFmtId="169" fontId="51" fillId="0" borderId="40" xfId="0" applyNumberFormat="1" applyFont="1" applyBorder="1" applyProtection="1"/>
    <xf numFmtId="0" fontId="51" fillId="0" borderId="24" xfId="0" applyFont="1" applyBorder="1" applyProtection="1"/>
    <xf numFmtId="0" fontId="56" fillId="0" borderId="39" xfId="0" applyFont="1" applyBorder="1" applyAlignment="1" applyProtection="1">
      <alignment horizontal="right"/>
    </xf>
    <xf numFmtId="0" fontId="56" fillId="0" borderId="15" xfId="0" applyFont="1" applyBorder="1" applyAlignment="1" applyProtection="1">
      <alignment horizontal="left"/>
    </xf>
    <xf numFmtId="0" fontId="51" fillId="0" borderId="82" xfId="0" applyFont="1" applyBorder="1" applyProtection="1"/>
    <xf numFmtId="166" fontId="51" fillId="0" borderId="16" xfId="0" applyNumberFormat="1" applyFont="1" applyFill="1" applyBorder="1" applyProtection="1"/>
    <xf numFmtId="0" fontId="2" fillId="0" borderId="18" xfId="0" applyFont="1" applyBorder="1" applyProtection="1"/>
    <xf numFmtId="0" fontId="51" fillId="0" borderId="4" xfId="0" applyFont="1" applyBorder="1" applyAlignment="1" applyProtection="1">
      <alignment vertical="center"/>
    </xf>
    <xf numFmtId="0" fontId="55" fillId="0" borderId="4" xfId="0" applyFont="1" applyBorder="1" applyAlignment="1" applyProtection="1">
      <alignment horizontal="right"/>
    </xf>
    <xf numFmtId="0" fontId="51" fillId="0" borderId="4" xfId="0" applyFont="1" applyBorder="1" applyAlignment="1" applyProtection="1">
      <alignment horizontal="left"/>
    </xf>
    <xf numFmtId="169" fontId="51" fillId="0" borderId="4" xfId="0" applyNumberFormat="1" applyFont="1" applyBorder="1" applyProtection="1"/>
    <xf numFmtId="0" fontId="61" fillId="0" borderId="15" xfId="0" applyFont="1" applyBorder="1" applyProtection="1"/>
    <xf numFmtId="0" fontId="51" fillId="0" borderId="30" xfId="0" applyFont="1" applyBorder="1" applyProtection="1"/>
    <xf numFmtId="0" fontId="51" fillId="0" borderId="21" xfId="0" applyFont="1" applyBorder="1" applyProtection="1"/>
    <xf numFmtId="0" fontId="51" fillId="0" borderId="3" xfId="0" applyFont="1" applyBorder="1" applyAlignment="1" applyProtection="1">
      <alignment horizontal="center" vertical="top"/>
    </xf>
    <xf numFmtId="0" fontId="34" fillId="0" borderId="9" xfId="0" applyFont="1" applyBorder="1" applyAlignment="1" applyProtection="1">
      <alignment vertical="center"/>
    </xf>
    <xf numFmtId="0" fontId="52" fillId="0" borderId="9" xfId="0" applyFont="1" applyBorder="1" applyAlignment="1" applyProtection="1">
      <alignment horizontal="center" vertical="top"/>
    </xf>
    <xf numFmtId="0" fontId="59" fillId="0" borderId="9" xfId="0" applyFont="1" applyBorder="1" applyProtection="1"/>
    <xf numFmtId="0" fontId="61" fillId="0" borderId="3" xfId="0" applyFont="1" applyBorder="1" applyProtection="1"/>
    <xf numFmtId="0" fontId="9" fillId="0" borderId="52" xfId="0" applyFont="1" applyBorder="1" applyProtection="1"/>
    <xf numFmtId="0" fontId="20" fillId="0" borderId="4" xfId="0" applyFont="1" applyBorder="1" applyAlignment="1" applyProtection="1">
      <alignment horizontal="center" vertical="top"/>
    </xf>
    <xf numFmtId="0" fontId="35" fillId="0" borderId="6" xfId="0" applyFont="1" applyBorder="1" applyProtection="1"/>
    <xf numFmtId="0" fontId="52" fillId="7" borderId="33" xfId="0" applyFont="1" applyFill="1" applyBorder="1" applyAlignment="1" applyProtection="1">
      <alignment horizontal="center" vertical="center"/>
    </xf>
    <xf numFmtId="0" fontId="52" fillId="7" borderId="35" xfId="0" applyFont="1" applyFill="1" applyBorder="1" applyAlignment="1" applyProtection="1">
      <alignment horizontal="center" vertical="center"/>
    </xf>
    <xf numFmtId="0" fontId="51" fillId="0" borderId="19" xfId="0" applyFont="1" applyBorder="1" applyProtection="1"/>
    <xf numFmtId="0" fontId="62" fillId="0" borderId="3" xfId="0" applyFont="1" applyBorder="1" applyProtection="1"/>
    <xf numFmtId="0" fontId="35" fillId="0" borderId="3" xfId="0" applyFont="1" applyBorder="1" applyProtection="1"/>
    <xf numFmtId="0" fontId="35" fillId="0" borderId="20" xfId="0" applyFont="1" applyBorder="1" applyProtection="1"/>
    <xf numFmtId="0" fontId="35" fillId="0" borderId="18" xfId="0" applyFont="1" applyBorder="1" applyProtection="1"/>
    <xf numFmtId="0" fontId="35" fillId="0" borderId="15" xfId="0" applyFont="1" applyBorder="1" applyProtection="1"/>
    <xf numFmtId="0" fontId="35" fillId="0" borderId="3" xfId="0" applyFont="1" applyBorder="1" applyAlignment="1" applyProtection="1">
      <alignment horizontal="left"/>
    </xf>
    <xf numFmtId="0" fontId="35" fillId="0" borderId="3" xfId="0" applyFont="1" applyBorder="1" applyAlignment="1" applyProtection="1">
      <alignment horizontal="right"/>
    </xf>
    <xf numFmtId="166" fontId="35" fillId="0" borderId="3" xfId="0" applyNumberFormat="1" applyFont="1" applyBorder="1" applyAlignment="1" applyProtection="1">
      <alignment horizontal="left"/>
    </xf>
    <xf numFmtId="0" fontId="39" fillId="0" borderId="3" xfId="0" applyFont="1" applyBorder="1" applyAlignment="1" applyProtection="1">
      <alignment horizontal="right"/>
    </xf>
    <xf numFmtId="0" fontId="51" fillId="0" borderId="3" xfId="0" applyFont="1" applyBorder="1" applyProtection="1"/>
    <xf numFmtId="0" fontId="51" fillId="0" borderId="21" xfId="0" applyFont="1" applyBorder="1" applyAlignment="1" applyProtection="1">
      <alignment horizontal="right"/>
    </xf>
    <xf numFmtId="0" fontId="51" fillId="0" borderId="4" xfId="0" applyFont="1" applyBorder="1" applyProtection="1"/>
    <xf numFmtId="166" fontId="51" fillId="0" borderId="4" xfId="0" applyNumberFormat="1" applyFont="1" applyBorder="1" applyProtection="1"/>
    <xf numFmtId="166" fontId="62" fillId="0" borderId="4" xfId="0" applyNumberFormat="1" applyFont="1" applyBorder="1" applyProtection="1"/>
    <xf numFmtId="166" fontId="35" fillId="0" borderId="4" xfId="0" applyNumberFormat="1" applyFont="1" applyBorder="1" applyProtection="1"/>
    <xf numFmtId="166" fontId="35" fillId="0" borderId="3" xfId="0" applyNumberFormat="1" applyFont="1" applyBorder="1" applyProtection="1"/>
    <xf numFmtId="0" fontId="35" fillId="0" borderId="4" xfId="0" applyFont="1" applyBorder="1" applyProtection="1"/>
    <xf numFmtId="0" fontId="51" fillId="0" borderId="53" xfId="0" applyFont="1" applyBorder="1" applyProtection="1"/>
    <xf numFmtId="0" fontId="51" fillId="0" borderId="36" xfId="0" applyFont="1" applyBorder="1" applyAlignment="1" applyProtection="1">
      <alignment horizontal="right"/>
    </xf>
    <xf numFmtId="0" fontId="51" fillId="0" borderId="8" xfId="0" applyFont="1" applyBorder="1" applyProtection="1"/>
    <xf numFmtId="166" fontId="51" fillId="0" borderId="8" xfId="0" applyNumberFormat="1" applyFont="1" applyBorder="1" applyProtection="1"/>
    <xf numFmtId="166" fontId="51" fillId="0" borderId="26" xfId="0" applyNumberFormat="1" applyFont="1" applyBorder="1" applyProtection="1"/>
    <xf numFmtId="166" fontId="62" fillId="0" borderId="3" xfId="0" applyNumberFormat="1" applyFont="1" applyBorder="1" applyProtection="1"/>
    <xf numFmtId="0" fontId="34" fillId="0" borderId="32" xfId="0" applyFont="1" applyBorder="1" applyAlignment="1" applyProtection="1">
      <alignment horizontal="left" vertical="center"/>
    </xf>
    <xf numFmtId="166" fontId="62" fillId="0" borderId="15" xfId="0" applyNumberFormat="1" applyFont="1" applyBorder="1" applyProtection="1"/>
    <xf numFmtId="166" fontId="47" fillId="0" borderId="3" xfId="0" applyNumberFormat="1" applyFont="1" applyBorder="1" applyProtection="1"/>
    <xf numFmtId="166" fontId="35" fillId="0" borderId="21" xfId="0" applyNumberFormat="1" applyFont="1" applyBorder="1" applyProtection="1"/>
    <xf numFmtId="0" fontId="35" fillId="0" borderId="8" xfId="0" applyFont="1" applyBorder="1" applyProtection="1"/>
    <xf numFmtId="0" fontId="34" fillId="0" borderId="36" xfId="0" applyFont="1" applyBorder="1" applyAlignment="1" applyProtection="1">
      <alignment horizontal="left" vertical="center"/>
    </xf>
    <xf numFmtId="166" fontId="52" fillId="12" borderId="77" xfId="0" applyNumberFormat="1" applyFont="1" applyFill="1" applyBorder="1" applyAlignment="1" applyProtection="1">
      <alignment horizontal="center" vertical="center" shrinkToFit="1"/>
    </xf>
    <xf numFmtId="166" fontId="52" fillId="12" borderId="22" xfId="0" applyNumberFormat="1" applyFont="1" applyFill="1" applyBorder="1" applyAlignment="1" applyProtection="1">
      <alignment horizontal="center" vertical="center" shrinkToFit="1"/>
    </xf>
    <xf numFmtId="0" fontId="34" fillId="0" borderId="41" xfId="0" applyFont="1" applyBorder="1" applyAlignment="1" applyProtection="1">
      <alignment horizontal="left" vertical="center"/>
    </xf>
    <xf numFmtId="166" fontId="52" fillId="11" borderId="78" xfId="0" applyNumberFormat="1" applyFont="1" applyFill="1" applyBorder="1" applyAlignment="1" applyProtection="1">
      <alignment horizontal="center"/>
    </xf>
    <xf numFmtId="166" fontId="52" fillId="11" borderId="81" xfId="0" applyNumberFormat="1" applyFont="1" applyFill="1" applyBorder="1" applyAlignment="1" applyProtection="1">
      <alignment horizontal="center"/>
    </xf>
    <xf numFmtId="166" fontId="52" fillId="12" borderId="78" xfId="0" applyNumberFormat="1" applyFont="1" applyFill="1" applyBorder="1" applyAlignment="1" applyProtection="1">
      <alignment horizontal="center"/>
    </xf>
    <xf numFmtId="166" fontId="52" fillId="12" borderId="79" xfId="0" applyNumberFormat="1" applyFont="1" applyFill="1" applyBorder="1" applyAlignment="1" applyProtection="1">
      <alignment horizontal="center"/>
    </xf>
    <xf numFmtId="166" fontId="62" fillId="0" borderId="19" xfId="0" applyNumberFormat="1" applyFont="1" applyBorder="1" applyProtection="1"/>
    <xf numFmtId="0" fontId="51" fillId="0" borderId="55" xfId="0" applyFont="1" applyBorder="1" applyAlignment="1" applyProtection="1">
      <alignment horizontal="left"/>
    </xf>
    <xf numFmtId="166" fontId="51" fillId="0" borderId="17" xfId="0" applyNumberFormat="1" applyFont="1" applyBorder="1" applyAlignment="1" applyProtection="1"/>
    <xf numFmtId="166" fontId="51" fillId="0" borderId="40" xfId="0" applyNumberFormat="1" applyFont="1" applyBorder="1" applyAlignment="1" applyProtection="1"/>
    <xf numFmtId="0" fontId="0" fillId="0" borderId="19" xfId="0" applyBorder="1" applyAlignment="1" applyProtection="1">
      <alignment horizontal="right"/>
    </xf>
    <xf numFmtId="166" fontId="35" fillId="0" borderId="15" xfId="0" applyNumberFormat="1" applyFont="1" applyBorder="1" applyProtection="1"/>
    <xf numFmtId="166" fontId="35" fillId="0" borderId="3" xfId="0" applyNumberFormat="1" applyFont="1" applyFill="1" applyBorder="1" applyAlignment="1" applyProtection="1">
      <alignment vertical="center"/>
    </xf>
    <xf numFmtId="0" fontId="1" fillId="0" borderId="19" xfId="0" applyFont="1" applyBorder="1" applyAlignment="1" applyProtection="1">
      <alignment horizontal="right"/>
    </xf>
    <xf numFmtId="166" fontId="35" fillId="0" borderId="25" xfId="0" applyNumberFormat="1" applyFont="1" applyBorder="1" applyProtection="1"/>
    <xf numFmtId="0" fontId="25" fillId="0" borderId="19" xfId="0" applyFont="1" applyBorder="1" applyAlignment="1" applyProtection="1">
      <alignment horizontal="right"/>
    </xf>
    <xf numFmtId="0" fontId="35" fillId="0" borderId="21" xfId="0" applyFont="1" applyBorder="1" applyProtection="1"/>
    <xf numFmtId="169" fontId="51" fillId="0" borderId="17" xfId="0" applyNumberFormat="1" applyFont="1" applyBorder="1" applyAlignment="1" applyProtection="1"/>
    <xf numFmtId="0" fontId="35" fillId="0" borderId="15" xfId="0" applyFont="1" applyBorder="1" applyAlignment="1" applyProtection="1">
      <alignment horizontal="right"/>
    </xf>
    <xf numFmtId="0" fontId="35" fillId="0" borderId="63" xfId="0" applyFont="1" applyBorder="1" applyProtection="1"/>
    <xf numFmtId="0" fontId="35" fillId="0" borderId="61" xfId="0" applyFont="1" applyBorder="1" applyProtection="1"/>
    <xf numFmtId="0" fontId="35" fillId="0" borderId="21" xfId="0" applyFont="1" applyBorder="1" applyAlignment="1" applyProtection="1">
      <alignment horizontal="right"/>
    </xf>
    <xf numFmtId="0" fontId="35" fillId="0" borderId="60" xfId="0" applyFont="1" applyBorder="1" applyProtection="1"/>
    <xf numFmtId="0" fontId="35" fillId="0" borderId="66" xfId="0" applyFont="1" applyBorder="1" applyAlignment="1" applyProtection="1">
      <alignment horizontal="right"/>
    </xf>
    <xf numFmtId="0" fontId="35" fillId="0" borderId="67" xfId="0" applyFont="1" applyBorder="1" applyProtection="1"/>
    <xf numFmtId="0" fontId="35" fillId="0" borderId="57" xfId="0" applyFont="1" applyBorder="1" applyAlignment="1" applyProtection="1">
      <alignment horizontal="right"/>
    </xf>
    <xf numFmtId="0" fontId="35" fillId="0" borderId="62" xfId="0" applyFont="1" applyBorder="1" applyAlignment="1" applyProtection="1">
      <alignment horizontal="right"/>
    </xf>
    <xf numFmtId="0" fontId="79" fillId="5" borderId="3" xfId="0" applyFont="1" applyFill="1" applyBorder="1" applyProtection="1"/>
    <xf numFmtId="0" fontId="48" fillId="5" borderId="3" xfId="0" applyFont="1" applyFill="1" applyBorder="1" applyAlignment="1" applyProtection="1"/>
    <xf numFmtId="0" fontId="32" fillId="5" borderId="3" xfId="0" applyFont="1" applyFill="1" applyBorder="1" applyAlignment="1" applyProtection="1"/>
    <xf numFmtId="0" fontId="31" fillId="0" borderId="3" xfId="0" applyFont="1" applyBorder="1" applyProtection="1"/>
    <xf numFmtId="0" fontId="1" fillId="0" borderId="3" xfId="0" applyFont="1" applyBorder="1" applyProtection="1"/>
    <xf numFmtId="0" fontId="42" fillId="5" borderId="3" xfId="0" applyFont="1" applyFill="1" applyBorder="1" applyAlignment="1" applyProtection="1">
      <alignment vertical="center"/>
    </xf>
    <xf numFmtId="0" fontId="35" fillId="5" borderId="3" xfId="0" applyFont="1" applyFill="1" applyBorder="1" applyAlignment="1" applyProtection="1">
      <alignment vertical="center"/>
    </xf>
    <xf numFmtId="0" fontId="89" fillId="0" borderId="3" xfId="0" applyFont="1" applyBorder="1" applyAlignment="1" applyProtection="1">
      <alignment vertical="top"/>
    </xf>
    <xf numFmtId="0" fontId="0" fillId="0" borderId="4" xfId="0" applyBorder="1" applyProtection="1"/>
    <xf numFmtId="0" fontId="3" fillId="0" borderId="18" xfId="0" applyFont="1" applyBorder="1" applyProtection="1"/>
    <xf numFmtId="0" fontId="20" fillId="0" borderId="3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right"/>
    </xf>
    <xf numFmtId="0" fontId="34" fillId="0" borderId="3" xfId="0" applyFont="1" applyBorder="1" applyProtection="1"/>
    <xf numFmtId="0" fontId="13" fillId="0" borderId="3" xfId="0" applyFont="1" applyFill="1" applyBorder="1" applyAlignment="1" applyProtection="1">
      <alignment horizontal="right"/>
    </xf>
    <xf numFmtId="0" fontId="13" fillId="0" borderId="3" xfId="0" applyFont="1" applyFill="1" applyBorder="1" applyProtection="1"/>
    <xf numFmtId="0" fontId="3" fillId="0" borderId="3" xfId="0" applyFont="1" applyBorder="1" applyAlignment="1" applyProtection="1">
      <alignment horizontal="left"/>
    </xf>
    <xf numFmtId="0" fontId="31" fillId="0" borderId="3" xfId="0" applyFont="1" applyBorder="1" applyAlignment="1" applyProtection="1">
      <alignment horizontal="center"/>
    </xf>
    <xf numFmtId="0" fontId="8" fillId="0" borderId="3" xfId="0" applyFont="1" applyBorder="1" applyProtection="1"/>
    <xf numFmtId="0" fontId="30" fillId="0" borderId="3" xfId="0" applyFont="1" applyBorder="1" applyProtection="1"/>
    <xf numFmtId="0" fontId="13" fillId="0" borderId="3" xfId="0" applyFont="1" applyBorder="1" applyAlignment="1" applyProtection="1">
      <alignment horizontal="right"/>
    </xf>
    <xf numFmtId="0" fontId="3" fillId="5" borderId="3" xfId="0" applyFont="1" applyFill="1" applyBorder="1" applyAlignment="1" applyProtection="1">
      <alignment horizontal="center"/>
    </xf>
    <xf numFmtId="0" fontId="64" fillId="0" borderId="3" xfId="0" applyFont="1" applyBorder="1" applyProtection="1"/>
    <xf numFmtId="0" fontId="64" fillId="0" borderId="8" xfId="0" applyFont="1" applyBorder="1" applyProtection="1"/>
    <xf numFmtId="0" fontId="34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0" borderId="9" xfId="0" applyFont="1" applyBorder="1" applyProtection="1"/>
    <xf numFmtId="0" fontId="3" fillId="5" borderId="3" xfId="0" applyFont="1" applyFill="1" applyBorder="1" applyAlignment="1" applyProtection="1">
      <alignment horizontal="left"/>
    </xf>
    <xf numFmtId="0" fontId="64" fillId="0" borderId="18" xfId="0" applyFont="1" applyBorder="1" applyProtection="1"/>
    <xf numFmtId="0" fontId="3" fillId="0" borderId="4" xfId="0" applyFont="1" applyBorder="1" applyProtection="1"/>
    <xf numFmtId="0" fontId="1" fillId="0" borderId="3" xfId="0" applyFont="1" applyBorder="1" applyAlignment="1" applyProtection="1">
      <alignment horizontal="left"/>
    </xf>
    <xf numFmtId="0" fontId="74" fillId="0" borderId="3" xfId="0" applyFont="1" applyBorder="1" applyAlignment="1" applyProtection="1">
      <alignment horizontal="right"/>
    </xf>
    <xf numFmtId="0" fontId="51" fillId="0" borderId="3" xfId="0" applyFont="1" applyBorder="1" applyAlignment="1" applyProtection="1">
      <alignment horizontal="center"/>
    </xf>
    <xf numFmtId="0" fontId="73" fillId="0" borderId="3" xfId="0" applyFont="1" applyBorder="1" applyProtection="1"/>
    <xf numFmtId="0" fontId="74" fillId="0" borderId="3" xfId="0" applyFont="1" applyBorder="1" applyProtection="1"/>
    <xf numFmtId="0" fontId="62" fillId="0" borderId="3" xfId="0" applyFont="1" applyBorder="1" applyAlignment="1" applyProtection="1">
      <alignment horizontal="right"/>
    </xf>
    <xf numFmtId="0" fontId="65" fillId="0" borderId="3" xfId="0" applyFont="1" applyBorder="1" applyProtection="1"/>
    <xf numFmtId="0" fontId="62" fillId="0" borderId="3" xfId="0" applyFont="1" applyBorder="1" applyAlignment="1" applyProtection="1">
      <alignment horizontal="center"/>
    </xf>
    <xf numFmtId="0" fontId="62" fillId="0" borderId="4" xfId="0" applyFont="1" applyBorder="1" applyProtection="1"/>
    <xf numFmtId="166" fontId="62" fillId="0" borderId="12" xfId="0" applyNumberFormat="1" applyFont="1" applyBorder="1" applyAlignment="1" applyProtection="1">
      <alignment horizontal="center"/>
    </xf>
    <xf numFmtId="166" fontId="62" fillId="0" borderId="13" xfId="0" applyNumberFormat="1" applyFont="1" applyBorder="1" applyAlignment="1" applyProtection="1">
      <alignment horizontal="center"/>
    </xf>
    <xf numFmtId="0" fontId="62" fillId="0" borderId="6" xfId="0" applyFont="1" applyBorder="1" applyAlignment="1" applyProtection="1">
      <alignment horizontal="right"/>
    </xf>
    <xf numFmtId="0" fontId="62" fillId="9" borderId="8" xfId="0" applyFont="1" applyFill="1" applyBorder="1" applyProtection="1"/>
    <xf numFmtId="0" fontId="68" fillId="0" borderId="6" xfId="0" applyFont="1" applyBorder="1" applyAlignment="1" applyProtection="1">
      <alignment horizontal="right"/>
    </xf>
    <xf numFmtId="166" fontId="64" fillId="0" borderId="14" xfId="2" applyNumberFormat="1" applyFont="1" applyBorder="1" applyAlignment="1" applyProtection="1">
      <alignment horizontal="center"/>
    </xf>
    <xf numFmtId="0" fontId="62" fillId="0" borderId="15" xfId="0" applyFont="1" applyBorder="1" applyProtection="1"/>
    <xf numFmtId="0" fontId="69" fillId="0" borderId="3" xfId="0" applyFont="1" applyBorder="1" applyProtection="1"/>
    <xf numFmtId="0" fontId="68" fillId="0" borderId="18" xfId="0" applyFont="1" applyBorder="1" applyAlignment="1" applyProtection="1">
      <alignment horizontal="right"/>
    </xf>
    <xf numFmtId="166" fontId="64" fillId="9" borderId="3" xfId="0" applyNumberFormat="1" applyFont="1" applyFill="1" applyBorder="1" applyAlignment="1" applyProtection="1">
      <alignment horizontal="center"/>
    </xf>
    <xf numFmtId="0" fontId="86" fillId="0" borderId="3" xfId="0" applyFont="1" applyBorder="1" applyProtection="1"/>
    <xf numFmtId="0" fontId="62" fillId="0" borderId="7" xfId="0" applyFont="1" applyBorder="1" applyProtection="1"/>
    <xf numFmtId="0" fontId="70" fillId="0" borderId="6" xfId="0" applyFont="1" applyBorder="1" applyAlignment="1" applyProtection="1">
      <alignment horizontal="right"/>
    </xf>
    <xf numFmtId="11" fontId="62" fillId="0" borderId="19" xfId="0" applyNumberFormat="1" applyFont="1" applyBorder="1" applyAlignment="1" applyProtection="1">
      <alignment horizontal="left"/>
    </xf>
    <xf numFmtId="0" fontId="62" fillId="0" borderId="26" xfId="0" applyFont="1" applyBorder="1" applyAlignment="1" applyProtection="1">
      <alignment horizontal="right"/>
    </xf>
    <xf numFmtId="0" fontId="9" fillId="0" borderId="26" xfId="0" applyFont="1" applyBorder="1" applyAlignment="1" applyProtection="1">
      <alignment horizontal="right"/>
    </xf>
    <xf numFmtId="11" fontId="3" fillId="5" borderId="51" xfId="0" applyNumberFormat="1" applyFont="1" applyFill="1" applyBorder="1" applyAlignment="1" applyProtection="1">
      <alignment horizontal="center"/>
    </xf>
    <xf numFmtId="11" fontId="3" fillId="5" borderId="50" xfId="0" applyNumberFormat="1" applyFont="1" applyFill="1" applyBorder="1" applyAlignment="1" applyProtection="1">
      <alignment horizontal="center"/>
    </xf>
    <xf numFmtId="0" fontId="34" fillId="0" borderId="4" xfId="0" applyFont="1" applyBorder="1" applyProtection="1"/>
    <xf numFmtId="0" fontId="51" fillId="0" borderId="26" xfId="0" applyFont="1" applyBorder="1" applyAlignment="1" applyProtection="1">
      <alignment horizontal="right"/>
    </xf>
    <xf numFmtId="11" fontId="52" fillId="5" borderId="37" xfId="0" applyNumberFormat="1" applyFont="1" applyFill="1" applyBorder="1" applyAlignment="1" applyProtection="1">
      <alignment horizontal="center"/>
    </xf>
    <xf numFmtId="11" fontId="52" fillId="5" borderId="3" xfId="0" applyNumberFormat="1" applyFont="1" applyFill="1" applyBorder="1" applyAlignment="1" applyProtection="1">
      <alignment horizontal="center"/>
    </xf>
    <xf numFmtId="0" fontId="62" fillId="0" borderId="30" xfId="0" applyFont="1" applyBorder="1" applyProtection="1"/>
    <xf numFmtId="0" fontId="62" fillId="0" borderId="5" xfId="0" applyFont="1" applyBorder="1" applyAlignment="1" applyProtection="1">
      <alignment horizontal="right"/>
    </xf>
    <xf numFmtId="0" fontId="65" fillId="0" borderId="8" xfId="0" applyFont="1" applyBorder="1" applyProtection="1"/>
    <xf numFmtId="0" fontId="62" fillId="0" borderId="8" xfId="0" applyFont="1" applyBorder="1" applyProtection="1"/>
    <xf numFmtId="0" fontId="62" fillId="0" borderId="18" xfId="0" applyFont="1" applyBorder="1" applyAlignment="1" applyProtection="1">
      <alignment horizontal="right"/>
    </xf>
    <xf numFmtId="2" fontId="64" fillId="9" borderId="26" xfId="2" applyNumberFormat="1" applyFont="1" applyFill="1" applyBorder="1" applyAlignment="1" applyProtection="1">
      <alignment horizontal="center"/>
    </xf>
    <xf numFmtId="11" fontId="62" fillId="0" borderId="25" xfId="0" applyNumberFormat="1" applyFont="1" applyBorder="1" applyAlignment="1" applyProtection="1">
      <alignment horizontal="left"/>
    </xf>
    <xf numFmtId="11" fontId="62" fillId="0" borderId="36" xfId="0" applyNumberFormat="1" applyFont="1" applyBorder="1" applyAlignment="1" applyProtection="1">
      <alignment horizontal="right"/>
    </xf>
    <xf numFmtId="0" fontId="62" fillId="0" borderId="21" xfId="0" applyFont="1" applyBorder="1" applyProtection="1"/>
    <xf numFmtId="11" fontId="62" fillId="0" borderId="15" xfId="0" applyNumberFormat="1" applyFont="1" applyBorder="1" applyAlignment="1" applyProtection="1">
      <alignment horizontal="left"/>
    </xf>
    <xf numFmtId="11" fontId="62" fillId="0" borderId="20" xfId="0" applyNumberFormat="1" applyFont="1" applyBorder="1" applyAlignment="1" applyProtection="1">
      <alignment horizontal="right"/>
    </xf>
    <xf numFmtId="0" fontId="0" fillId="5" borderId="3" xfId="0" applyFill="1" applyBorder="1" applyProtection="1"/>
    <xf numFmtId="0" fontId="51" fillId="5" borderId="3" xfId="0" applyFont="1" applyFill="1" applyBorder="1" applyProtection="1"/>
    <xf numFmtId="0" fontId="73" fillId="5" borderId="3" xfId="0" applyFont="1" applyFill="1" applyBorder="1" applyProtection="1"/>
    <xf numFmtId="0" fontId="62" fillId="5" borderId="3" xfId="0" applyFont="1" applyFill="1" applyBorder="1" applyProtection="1"/>
    <xf numFmtId="0" fontId="76" fillId="0" borderId="3" xfId="0" applyFont="1" applyBorder="1" applyProtection="1"/>
    <xf numFmtId="0" fontId="76" fillId="5" borderId="3" xfId="0" applyFont="1" applyFill="1" applyBorder="1" applyProtection="1"/>
    <xf numFmtId="0" fontId="65" fillId="5" borderId="3" xfId="0" applyFont="1" applyFill="1" applyBorder="1" applyProtection="1"/>
    <xf numFmtId="0" fontId="62" fillId="0" borderId="15" xfId="0" applyFont="1" applyBorder="1" applyAlignment="1" applyProtection="1">
      <alignment horizontal="left"/>
    </xf>
    <xf numFmtId="0" fontId="85" fillId="0" borderId="3" xfId="0" applyFont="1" applyBorder="1" applyProtection="1"/>
    <xf numFmtId="166" fontId="64" fillId="9" borderId="3" xfId="0" applyNumberFormat="1" applyFont="1" applyFill="1" applyBorder="1" applyAlignment="1" applyProtection="1">
      <alignment horizontal="center" vertical="center"/>
    </xf>
    <xf numFmtId="167" fontId="64" fillId="9" borderId="3" xfId="0" applyNumberFormat="1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left"/>
    </xf>
    <xf numFmtId="0" fontId="12" fillId="5" borderId="3" xfId="0" applyFont="1" applyFill="1" applyBorder="1" applyProtection="1"/>
    <xf numFmtId="167" fontId="3" fillId="9" borderId="3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3" fillId="13" borderId="58" xfId="0" applyFont="1" applyFill="1" applyBorder="1" applyProtection="1">
      <protection locked="0"/>
    </xf>
    <xf numFmtId="166" fontId="64" fillId="3" borderId="11" xfId="2" applyNumberFormat="1" applyFont="1" applyFill="1" applyBorder="1" applyAlignment="1" applyProtection="1">
      <alignment horizontal="center"/>
      <protection locked="0"/>
    </xf>
    <xf numFmtId="166" fontId="64" fillId="3" borderId="3" xfId="0" applyNumberFormat="1" applyFont="1" applyFill="1" applyBorder="1" applyAlignment="1" applyProtection="1">
      <alignment horizontal="center"/>
      <protection locked="0"/>
    </xf>
    <xf numFmtId="166" fontId="64" fillId="3" borderId="10" xfId="2" applyNumberFormat="1" applyFont="1" applyFill="1" applyBorder="1" applyAlignment="1" applyProtection="1">
      <alignment horizontal="center"/>
      <protection locked="0"/>
    </xf>
    <xf numFmtId="166" fontId="64" fillId="3" borderId="2" xfId="2" applyNumberFormat="1" applyFont="1" applyFill="1" applyBorder="1" applyAlignment="1" applyProtection="1">
      <alignment horizontal="center"/>
      <protection locked="0"/>
    </xf>
    <xf numFmtId="11" fontId="64" fillId="3" borderId="2" xfId="2" applyNumberFormat="1" applyFont="1" applyFill="1" applyBorder="1" applyAlignment="1" applyProtection="1">
      <alignment horizontal="center"/>
      <protection locked="0"/>
    </xf>
    <xf numFmtId="2" fontId="64" fillId="3" borderId="22" xfId="2" applyNumberFormat="1" applyFont="1" applyFill="1" applyBorder="1" applyAlignment="1" applyProtection="1">
      <alignment horizontal="center"/>
      <protection locked="0"/>
    </xf>
    <xf numFmtId="2" fontId="64" fillId="3" borderId="29" xfId="0" applyNumberFormat="1" applyFont="1" applyFill="1" applyBorder="1" applyAlignment="1" applyProtection="1">
      <alignment horizontal="center"/>
      <protection locked="0"/>
    </xf>
    <xf numFmtId="2" fontId="64" fillId="3" borderId="17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92" fillId="0" borderId="1" xfId="0" applyFont="1" applyBorder="1" applyAlignment="1" applyProtection="1">
      <alignment horizontal="center"/>
    </xf>
    <xf numFmtId="0" fontId="62" fillId="0" borderId="8" xfId="0" applyFont="1" applyBorder="1" applyAlignment="1" applyProtection="1"/>
    <xf numFmtId="0" fontId="51" fillId="0" borderId="9" xfId="0" applyFont="1" applyBorder="1" applyProtection="1"/>
    <xf numFmtId="0" fontId="34" fillId="0" borderId="47" xfId="0" applyFont="1" applyBorder="1" applyProtection="1"/>
    <xf numFmtId="0" fontId="51" fillId="0" borderId="83" xfId="0" applyFont="1" applyBorder="1" applyAlignment="1" applyProtection="1">
      <alignment horizontal="right"/>
    </xf>
    <xf numFmtId="0" fontId="92" fillId="0" borderId="17" xfId="0" applyFont="1" applyBorder="1" applyAlignment="1" applyProtection="1">
      <alignment horizontal="center"/>
    </xf>
    <xf numFmtId="0" fontId="73" fillId="0" borderId="4" xfId="0" applyFont="1" applyBorder="1" applyProtection="1"/>
    <xf numFmtId="0" fontId="72" fillId="0" borderId="4" xfId="0" applyFont="1" applyBorder="1" applyAlignment="1" applyProtection="1">
      <alignment horizontal="center"/>
    </xf>
    <xf numFmtId="0" fontId="35" fillId="5" borderId="3" xfId="0" applyFont="1" applyFill="1" applyBorder="1" applyProtection="1"/>
    <xf numFmtId="0" fontId="34" fillId="5" borderId="3" xfId="0" applyFont="1" applyFill="1" applyBorder="1" applyAlignment="1" applyProtection="1">
      <alignment horizontal="center"/>
    </xf>
    <xf numFmtId="0" fontId="40" fillId="5" borderId="3" xfId="0" applyFont="1" applyFill="1" applyBorder="1" applyAlignment="1" applyProtection="1">
      <alignment vertical="top" wrapText="1"/>
    </xf>
    <xf numFmtId="0" fontId="78" fillId="5" borderId="3" xfId="0" applyFont="1" applyFill="1" applyBorder="1" applyAlignment="1" applyProtection="1"/>
    <xf numFmtId="0" fontId="31" fillId="5" borderId="3" xfId="0" applyFont="1" applyFill="1" applyBorder="1" applyProtection="1"/>
    <xf numFmtId="0" fontId="50" fillId="5" borderId="3" xfId="0" applyFont="1" applyFill="1" applyBorder="1" applyAlignment="1" applyProtection="1"/>
    <xf numFmtId="0" fontId="34" fillId="5" borderId="3" xfId="0" applyFont="1" applyFill="1" applyBorder="1" applyAlignment="1" applyProtection="1"/>
    <xf numFmtId="0" fontId="35" fillId="5" borderId="3" xfId="0" applyFont="1" applyFill="1" applyBorder="1" applyAlignment="1" applyProtection="1"/>
    <xf numFmtId="2" fontId="51" fillId="5" borderId="3" xfId="0" applyNumberFormat="1" applyFont="1" applyFill="1" applyBorder="1" applyAlignment="1" applyProtection="1">
      <alignment horizontal="center"/>
    </xf>
    <xf numFmtId="0" fontId="36" fillId="5" borderId="3" xfId="0" applyFont="1" applyFill="1" applyBorder="1" applyAlignment="1" applyProtection="1">
      <alignment horizontal="left" vertical="center" indent="1"/>
    </xf>
    <xf numFmtId="0" fontId="75" fillId="5" borderId="3" xfId="0" applyFont="1" applyFill="1" applyBorder="1" applyProtection="1"/>
    <xf numFmtId="0" fontId="84" fillId="5" borderId="3" xfId="0" applyFont="1" applyFill="1" applyBorder="1" applyAlignment="1" applyProtection="1">
      <alignment horizontal="left" vertical="center" indent="1"/>
    </xf>
    <xf numFmtId="0" fontId="52" fillId="5" borderId="3" xfId="0" applyFont="1" applyFill="1" applyBorder="1" applyProtection="1"/>
    <xf numFmtId="2" fontId="75" fillId="5" borderId="3" xfId="0" applyNumberFormat="1" applyFont="1" applyFill="1" applyBorder="1" applyAlignment="1" applyProtection="1"/>
    <xf numFmtId="0" fontId="75" fillId="5" borderId="3" xfId="0" applyFont="1" applyFill="1" applyBorder="1" applyAlignment="1" applyProtection="1">
      <alignment horizontal="left" vertical="center" indent="1"/>
    </xf>
    <xf numFmtId="0" fontId="51" fillId="5" borderId="3" xfId="0" applyFont="1" applyFill="1" applyBorder="1" applyAlignment="1" applyProtection="1">
      <alignment horizontal="left" vertical="center" indent="1"/>
    </xf>
    <xf numFmtId="0" fontId="1" fillId="5" borderId="3" xfId="0" applyFont="1" applyFill="1" applyBorder="1" applyProtection="1"/>
    <xf numFmtId="0" fontId="0" fillId="5" borderId="3" xfId="0" applyFill="1" applyBorder="1" applyAlignment="1" applyProtection="1">
      <alignment horizontal="left" vertical="center" indent="1"/>
    </xf>
    <xf numFmtId="0" fontId="1" fillId="5" borderId="3" xfId="0" applyFont="1" applyFill="1" applyBorder="1" applyAlignment="1" applyProtection="1">
      <alignment horizontal="left" vertical="center" indent="1"/>
    </xf>
    <xf numFmtId="0" fontId="29" fillId="5" borderId="3" xfId="0" applyFont="1" applyFill="1" applyBorder="1" applyProtection="1"/>
    <xf numFmtId="0" fontId="29" fillId="5" borderId="3" xfId="0" applyFont="1" applyFill="1" applyBorder="1" applyAlignment="1" applyProtection="1">
      <alignment vertical="center"/>
    </xf>
    <xf numFmtId="0" fontId="78" fillId="5" borderId="3" xfId="0" applyFont="1" applyFill="1" applyBorder="1" applyAlignment="1" applyProtection="1">
      <alignment horizontal="right" vertical="center"/>
    </xf>
    <xf numFmtId="0" fontId="80" fillId="5" borderId="3" xfId="0" applyFont="1" applyFill="1" applyBorder="1" applyAlignment="1" applyProtection="1">
      <alignment vertical="center"/>
    </xf>
    <xf numFmtId="0" fontId="29" fillId="5" borderId="3" xfId="0" applyFont="1" applyFill="1" applyBorder="1" applyAlignment="1" applyProtection="1">
      <alignment horizontal="right" vertical="center"/>
    </xf>
    <xf numFmtId="166" fontId="77" fillId="5" borderId="3" xfId="0" applyNumberFormat="1" applyFont="1" applyFill="1" applyBorder="1" applyAlignment="1" applyProtection="1">
      <alignment vertical="center"/>
    </xf>
    <xf numFmtId="0" fontId="37" fillId="5" borderId="3" xfId="0" applyFont="1" applyFill="1" applyBorder="1" applyAlignment="1" applyProtection="1">
      <alignment horizontal="left" vertical="center"/>
    </xf>
    <xf numFmtId="167" fontId="35" fillId="5" borderId="3" xfId="0" applyNumberFormat="1" applyFont="1" applyFill="1" applyBorder="1" applyAlignment="1" applyProtection="1">
      <alignment horizontal="left" vertical="center"/>
    </xf>
    <xf numFmtId="0" fontId="37" fillId="5" borderId="3" xfId="0" applyFont="1" applyFill="1" applyBorder="1" applyAlignment="1" applyProtection="1">
      <alignment vertical="center"/>
    </xf>
    <xf numFmtId="2" fontId="35" fillId="5" borderId="3" xfId="0" applyNumberFormat="1" applyFont="1" applyFill="1" applyBorder="1" applyAlignment="1" applyProtection="1">
      <alignment vertical="center"/>
    </xf>
    <xf numFmtId="0" fontId="35" fillId="5" borderId="3" xfId="0" applyFont="1" applyFill="1" applyBorder="1" applyAlignment="1" applyProtection="1">
      <alignment horizontal="right"/>
    </xf>
    <xf numFmtId="0" fontId="32" fillId="5" borderId="3" xfId="0" applyFont="1" applyFill="1" applyBorder="1" applyAlignment="1" applyProtection="1">
      <alignment vertical="center"/>
    </xf>
    <xf numFmtId="0" fontId="40" fillId="5" borderId="3" xfId="0" applyFont="1" applyFill="1" applyBorder="1" applyProtection="1"/>
    <xf numFmtId="0" fontId="82" fillId="5" borderId="3" xfId="1" applyFont="1" applyFill="1" applyBorder="1" applyAlignment="1" applyProtection="1"/>
    <xf numFmtId="2" fontId="82" fillId="5" borderId="3" xfId="1" applyNumberFormat="1" applyFont="1" applyFill="1" applyBorder="1" applyProtection="1"/>
    <xf numFmtId="0" fontId="82" fillId="5" borderId="3" xfId="1" applyFont="1" applyFill="1" applyBorder="1" applyProtection="1"/>
    <xf numFmtId="0" fontId="50" fillId="5" borderId="3" xfId="0" applyFont="1" applyFill="1" applyBorder="1" applyProtection="1"/>
    <xf numFmtId="0" fontId="52" fillId="5" borderId="3" xfId="0" applyFont="1" applyFill="1" applyBorder="1" applyAlignment="1" applyProtection="1">
      <alignment horizontal="left"/>
    </xf>
    <xf numFmtId="0" fontId="51" fillId="5" borderId="3" xfId="0" applyFont="1" applyFill="1" applyBorder="1" applyAlignment="1" applyProtection="1"/>
    <xf numFmtId="0" fontId="2" fillId="5" borderId="3" xfId="0" applyFont="1" applyFill="1" applyBorder="1" applyAlignment="1" applyProtection="1">
      <alignment horizontal="right"/>
    </xf>
    <xf numFmtId="0" fontId="43" fillId="5" borderId="3" xfId="0" applyFont="1" applyFill="1" applyBorder="1" applyAlignment="1" applyProtection="1"/>
    <xf numFmtId="0" fontId="43" fillId="5" borderId="3" xfId="0" applyFont="1" applyFill="1" applyBorder="1" applyAlignment="1" applyProtection="1">
      <alignment horizontal="center"/>
    </xf>
    <xf numFmtId="2" fontId="2" fillId="5" borderId="3" xfId="0" applyNumberFormat="1" applyFont="1" applyFill="1" applyBorder="1" applyAlignment="1" applyProtection="1">
      <alignment horizontal="right"/>
    </xf>
    <xf numFmtId="0" fontId="2" fillId="5" borderId="3" xfId="0" applyFont="1" applyFill="1" applyBorder="1" applyProtection="1"/>
    <xf numFmtId="0" fontId="49" fillId="5" borderId="3" xfId="0" applyFont="1" applyFill="1" applyBorder="1" applyAlignment="1" applyProtection="1"/>
    <xf numFmtId="0" fontId="49" fillId="5" borderId="3" xfId="0" applyFont="1" applyFill="1" applyBorder="1" applyAlignment="1" applyProtection="1">
      <alignment horizontal="center"/>
    </xf>
    <xf numFmtId="166" fontId="49" fillId="5" borderId="3" xfId="0" applyNumberFormat="1" applyFont="1" applyFill="1" applyBorder="1" applyAlignment="1" applyProtection="1">
      <alignment horizontal="center"/>
    </xf>
    <xf numFmtId="0" fontId="83" fillId="5" borderId="3" xfId="0" applyFont="1" applyFill="1" applyBorder="1" applyAlignment="1" applyProtection="1">
      <alignment horizontal="right" vertical="center"/>
    </xf>
    <xf numFmtId="166" fontId="83" fillId="5" borderId="3" xfId="0" applyNumberFormat="1" applyFont="1" applyFill="1" applyBorder="1" applyAlignment="1" applyProtection="1">
      <alignment horizontal="right" vertical="center"/>
    </xf>
    <xf numFmtId="0" fontId="20" fillId="5" borderId="3" xfId="0" applyFont="1" applyFill="1" applyBorder="1" applyAlignment="1" applyProtection="1"/>
    <xf numFmtId="0" fontId="41" fillId="5" borderId="3" xfId="0" applyFont="1" applyFill="1" applyBorder="1" applyAlignment="1" applyProtection="1">
      <alignment horizontal="center"/>
    </xf>
    <xf numFmtId="0" fontId="81" fillId="5" borderId="3" xfId="0" applyFont="1" applyFill="1" applyBorder="1" applyAlignment="1" applyProtection="1">
      <alignment vertical="center"/>
    </xf>
    <xf numFmtId="0" fontId="78" fillId="5" borderId="3" xfId="0" applyFont="1" applyFill="1" applyBorder="1" applyAlignment="1" applyProtection="1">
      <alignment horizontal="center"/>
    </xf>
    <xf numFmtId="0" fontId="79" fillId="5" borderId="3" xfId="0" applyFont="1" applyFill="1" applyBorder="1" applyAlignment="1" applyProtection="1">
      <alignment vertical="center"/>
    </xf>
    <xf numFmtId="0" fontId="35" fillId="5" borderId="3" xfId="0" applyFont="1" applyFill="1" applyBorder="1" applyAlignment="1" applyProtection="1">
      <alignment horizontal="left"/>
    </xf>
    <xf numFmtId="167" fontId="35" fillId="5" borderId="3" xfId="0" applyNumberFormat="1" applyFont="1" applyFill="1" applyBorder="1" applyAlignment="1" applyProtection="1">
      <alignment vertical="center"/>
    </xf>
    <xf numFmtId="166" fontId="35" fillId="5" borderId="3" xfId="0" applyNumberFormat="1" applyFont="1" applyFill="1" applyBorder="1" applyAlignment="1" applyProtection="1">
      <alignment vertical="center"/>
    </xf>
    <xf numFmtId="0" fontId="35" fillId="5" borderId="3" xfId="0" applyFont="1" applyFill="1" applyBorder="1" applyAlignment="1" applyProtection="1">
      <alignment horizontal="right" vertical="center"/>
    </xf>
    <xf numFmtId="0" fontId="35" fillId="0" borderId="65" xfId="0" applyFont="1" applyBorder="1" applyProtection="1"/>
    <xf numFmtId="0" fontId="35" fillId="5" borderId="59" xfId="0" applyFont="1" applyFill="1" applyBorder="1" applyProtection="1"/>
    <xf numFmtId="0" fontId="64" fillId="0" borderId="15" xfId="0" applyFont="1" applyBorder="1" applyProtection="1"/>
    <xf numFmtId="0" fontId="51" fillId="0" borderId="8" xfId="0" applyFont="1" applyBorder="1" applyAlignment="1" applyProtection="1">
      <alignment horizontal="center"/>
    </xf>
    <xf numFmtId="0" fontId="62" fillId="0" borderId="21" xfId="0" applyFont="1" applyBorder="1" applyAlignment="1" applyProtection="1">
      <alignment horizontal="left"/>
    </xf>
    <xf numFmtId="0" fontId="62" fillId="0" borderId="25" xfId="0" applyFont="1" applyBorder="1" applyAlignment="1" applyProtection="1">
      <alignment horizontal="left"/>
    </xf>
    <xf numFmtId="0" fontId="62" fillId="0" borderId="4" xfId="0" applyFont="1" applyBorder="1" applyAlignment="1" applyProtection="1">
      <alignment horizontal="center"/>
    </xf>
    <xf numFmtId="2" fontId="64" fillId="3" borderId="84" xfId="2" applyNumberFormat="1" applyFont="1" applyFill="1" applyBorder="1" applyAlignment="1" applyProtection="1">
      <alignment horizontal="center"/>
      <protection locked="0"/>
    </xf>
    <xf numFmtId="166" fontId="64" fillId="3" borderId="84" xfId="2" applyNumberFormat="1" applyFont="1" applyFill="1" applyBorder="1" applyAlignment="1" applyProtection="1">
      <alignment horizontal="center"/>
      <protection locked="0"/>
    </xf>
    <xf numFmtId="1" fontId="64" fillId="3" borderId="84" xfId="2" applyNumberFormat="1" applyFont="1" applyFill="1" applyBorder="1" applyAlignment="1" applyProtection="1">
      <alignment horizontal="center"/>
      <protection locked="0"/>
    </xf>
    <xf numFmtId="0" fontId="62" fillId="0" borderId="18" xfId="0" applyFont="1" applyBorder="1" applyProtection="1"/>
    <xf numFmtId="0" fontId="0" fillId="5" borderId="4" xfId="0" applyFill="1" applyBorder="1" applyAlignment="1" applyProtection="1">
      <alignment horizontal="right"/>
    </xf>
    <xf numFmtId="0" fontId="0" fillId="5" borderId="4" xfId="0" applyFill="1" applyBorder="1" applyProtection="1"/>
    <xf numFmtId="0" fontId="62" fillId="3" borderId="84" xfId="0" applyFont="1" applyFill="1" applyBorder="1" applyAlignment="1" applyProtection="1">
      <alignment horizontal="right"/>
    </xf>
    <xf numFmtId="0" fontId="62" fillId="3" borderId="86" xfId="0" applyFont="1" applyFill="1" applyBorder="1" applyProtection="1"/>
    <xf numFmtId="166" fontId="64" fillId="3" borderId="85" xfId="2" applyNumberFormat="1" applyFont="1" applyFill="1" applyBorder="1" applyAlignment="1" applyProtection="1">
      <alignment horizontal="center"/>
      <protection locked="0"/>
    </xf>
    <xf numFmtId="0" fontId="64" fillId="3" borderId="84" xfId="2" applyFont="1" applyFill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right" vertical="top" wrapText="1"/>
    </xf>
    <xf numFmtId="0" fontId="16" fillId="0" borderId="15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 vertical="top"/>
    </xf>
    <xf numFmtId="0" fontId="37" fillId="0" borderId="3" xfId="0" applyFont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63" fillId="0" borderId="8" xfId="0" applyFont="1" applyBorder="1" applyAlignment="1" applyProtection="1">
      <alignment horizontal="left" vertical="center"/>
    </xf>
    <xf numFmtId="0" fontId="63" fillId="0" borderId="4" xfId="0" applyFont="1" applyBorder="1" applyAlignment="1" applyProtection="1">
      <alignment horizontal="left" vertical="center"/>
    </xf>
    <xf numFmtId="0" fontId="83" fillId="5" borderId="3" xfId="0" applyFont="1" applyFill="1" applyBorder="1" applyAlignment="1" applyProtection="1">
      <alignment horizontal="center"/>
    </xf>
    <xf numFmtId="166" fontId="75" fillId="5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top"/>
    </xf>
    <xf numFmtId="0" fontId="40" fillId="5" borderId="3" xfId="0" applyFont="1" applyFill="1" applyBorder="1" applyAlignment="1" applyProtection="1">
      <alignment horizontal="center" vertical="top" wrapText="1"/>
    </xf>
    <xf numFmtId="0" fontId="20" fillId="5" borderId="3" xfId="0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/>
    </xf>
    <xf numFmtId="2" fontId="52" fillId="5" borderId="3" xfId="0" applyNumberFormat="1" applyFont="1" applyFill="1" applyBorder="1" applyAlignment="1" applyProtection="1">
      <alignment horizontal="center"/>
    </xf>
    <xf numFmtId="0" fontId="83" fillId="5" borderId="3" xfId="0" applyFont="1" applyFill="1" applyBorder="1" applyAlignment="1" applyProtection="1">
      <alignment horizontal="center" vertical="top"/>
    </xf>
    <xf numFmtId="166" fontId="35" fillId="0" borderId="3" xfId="0" applyNumberFormat="1" applyFont="1" applyFill="1" applyBorder="1" applyAlignment="1" applyProtection="1">
      <alignment horizontal="left" vertical="center" shrinkToFit="1"/>
    </xf>
    <xf numFmtId="0" fontId="34" fillId="0" borderId="56" xfId="0" applyFont="1" applyBorder="1" applyAlignment="1" applyProtection="1">
      <alignment horizontal="left" vertical="center"/>
    </xf>
    <xf numFmtId="0" fontId="34" fillId="0" borderId="42" xfId="0" applyFont="1" applyBorder="1" applyAlignment="1" applyProtection="1">
      <alignment horizontal="left" vertical="center"/>
    </xf>
    <xf numFmtId="0" fontId="34" fillId="0" borderId="43" xfId="0" applyFont="1" applyBorder="1" applyAlignment="1" applyProtection="1">
      <alignment horizontal="left" vertical="center"/>
    </xf>
    <xf numFmtId="0" fontId="52" fillId="0" borderId="44" xfId="0" applyFont="1" applyBorder="1" applyAlignment="1" applyProtection="1">
      <alignment horizontal="left" vertical="center"/>
    </xf>
    <xf numFmtId="0" fontId="52" fillId="0" borderId="45" xfId="0" applyFont="1" applyBorder="1" applyAlignment="1" applyProtection="1">
      <alignment horizontal="left" vertical="center"/>
    </xf>
    <xf numFmtId="0" fontId="52" fillId="0" borderId="46" xfId="0" applyFont="1" applyBorder="1" applyAlignment="1" applyProtection="1">
      <alignment horizontal="left" vertical="center"/>
    </xf>
    <xf numFmtId="0" fontId="52" fillId="11" borderId="22" xfId="0" applyFont="1" applyFill="1" applyBorder="1" applyAlignment="1" applyProtection="1">
      <alignment horizontal="center" vertical="center"/>
    </xf>
    <xf numFmtId="0" fontId="52" fillId="11" borderId="80" xfId="0" applyFont="1" applyFill="1" applyBorder="1" applyAlignment="1" applyProtection="1">
      <alignment horizontal="center" vertical="center"/>
    </xf>
    <xf numFmtId="0" fontId="52" fillId="11" borderId="34" xfId="0" applyFont="1" applyFill="1" applyBorder="1" applyAlignment="1" applyProtection="1">
      <alignment horizontal="center" vertical="center"/>
    </xf>
    <xf numFmtId="166" fontId="52" fillId="12" borderId="23" xfId="0" applyNumberFormat="1" applyFont="1" applyFill="1" applyBorder="1" applyAlignment="1" applyProtection="1">
      <alignment horizontal="left" vertical="center" shrinkToFit="1"/>
    </xf>
    <xf numFmtId="166" fontId="52" fillId="12" borderId="24" xfId="0" applyNumberFormat="1" applyFont="1" applyFill="1" applyBorder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29" fillId="4" borderId="3" xfId="0" applyFont="1" applyFill="1" applyBorder="1" applyAlignment="1" applyProtection="1">
      <alignment horizontal="center" vertical="center" textRotation="90"/>
      <protection hidden="1"/>
    </xf>
    <xf numFmtId="0" fontId="0" fillId="0" borderId="3" xfId="0" applyBorder="1" applyAlignment="1">
      <alignment horizontal="center" vertical="center" textRotation="90"/>
    </xf>
  </cellXfs>
  <cellStyles count="3">
    <cellStyle name="Schlecht" xfId="1" builtinId="27"/>
    <cellStyle name="Standard" xfId="0" builtinId="0"/>
    <cellStyle name="Standard 2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FF99"/>
      <color rgb="FF99FF66"/>
      <color rgb="FFFF0000"/>
      <color rgb="FFCC0000"/>
      <color rgb="FF0000FF"/>
      <color rgb="FF0066FF"/>
      <color rgb="FFCCFFCC"/>
      <color rgb="FF99FF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D$22" fmlaRange="$P$8:$P$9" noThreeD="1" val="0"/>
</file>

<file path=xl/ctrlProps/ctrlProp2.xml><?xml version="1.0" encoding="utf-8"?>
<formControlPr xmlns="http://schemas.microsoft.com/office/spreadsheetml/2009/9/main" objectType="Radio" firstButton="1" fmlaLink="$M$73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Drop" dropLines="2" dropStyle="combo" dx="16" fmlaLink="$R$24" fmlaRange="$P$24:$P$25" noThreeD="1" val="0"/>
</file>

<file path=xl/ctrlProps/ctrlProp6.xml><?xml version="1.0" encoding="utf-8"?>
<formControlPr xmlns="http://schemas.microsoft.com/office/spreadsheetml/2009/9/main" objectType="Drop" dropLines="2" dropStyle="combo" dx="16" fmlaLink="$R$26" fmlaRange="$P$26:$P$27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4" Type="http://schemas.openxmlformats.org/officeDocument/2006/relationships/image" Target="../media/image14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4" Type="http://schemas.openxmlformats.org/officeDocument/2006/relationships/image" Target="../media/image14.w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26</xdr:row>
      <xdr:rowOff>9525</xdr:rowOff>
    </xdr:from>
    <xdr:to>
      <xdr:col>6</xdr:col>
      <xdr:colOff>302401</xdr:colOff>
      <xdr:row>30</xdr:row>
      <xdr:rowOff>1222341</xdr:rowOff>
    </xdr:to>
    <xdr:pic>
      <xdr:nvPicPr>
        <xdr:cNvPr id="25" name="Grafik 2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5" t="8495" r="12783" b="47386"/>
        <a:stretch/>
      </xdr:blipFill>
      <xdr:spPr>
        <a:xfrm>
          <a:off x="4791076" y="7915275"/>
          <a:ext cx="3960000" cy="188909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1438275</xdr:colOff>
      <xdr:row>24</xdr:row>
      <xdr:rowOff>114300</xdr:rowOff>
    </xdr:from>
    <xdr:to>
      <xdr:col>1</xdr:col>
      <xdr:colOff>2781300</xdr:colOff>
      <xdr:row>26</xdr:row>
      <xdr:rowOff>76200</xdr:rowOff>
    </xdr:to>
    <xdr:sp macro="" textlink="">
      <xdr:nvSpPr>
        <xdr:cNvPr id="22" name="Rechteck 21"/>
        <xdr:cNvSpPr/>
      </xdr:nvSpPr>
      <xdr:spPr bwMode="auto">
        <a:xfrm>
          <a:off x="2200275" y="7667625"/>
          <a:ext cx="1343025" cy="3143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1438275</xdr:colOff>
      <xdr:row>27</xdr:row>
      <xdr:rowOff>85725</xdr:rowOff>
    </xdr:from>
    <xdr:to>
      <xdr:col>1</xdr:col>
      <xdr:colOff>2781300</xdr:colOff>
      <xdr:row>29</xdr:row>
      <xdr:rowOff>76200</xdr:rowOff>
    </xdr:to>
    <xdr:sp macro="" textlink="">
      <xdr:nvSpPr>
        <xdr:cNvPr id="23" name="Rechteck 22"/>
        <xdr:cNvSpPr/>
      </xdr:nvSpPr>
      <xdr:spPr bwMode="auto">
        <a:xfrm>
          <a:off x="2200275" y="8181975"/>
          <a:ext cx="1343025" cy="3143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FFFF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47625</xdr:rowOff>
        </xdr:from>
        <xdr:to>
          <xdr:col>3</xdr:col>
          <xdr:colOff>1190625</xdr:colOff>
          <xdr:row>8</xdr:row>
          <xdr:rowOff>123825</xdr:rowOff>
        </xdr:to>
        <xdr:sp macro="" textlink="">
          <xdr:nvSpPr>
            <xdr:cNvPr id="12297" name="Drop Down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63</xdr:row>
          <xdr:rowOff>47625</xdr:rowOff>
        </xdr:from>
        <xdr:to>
          <xdr:col>2</xdr:col>
          <xdr:colOff>447675</xdr:colOff>
          <xdr:row>63</xdr:row>
          <xdr:rowOff>200025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63</xdr:row>
          <xdr:rowOff>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II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828675</xdr:colOff>
          <xdr:row>63</xdr:row>
          <xdr:rowOff>19050</xdr:rowOff>
        </xdr:from>
        <xdr:to>
          <xdr:col>3</xdr:col>
          <xdr:colOff>1066800</xdr:colOff>
          <xdr:row>63</xdr:row>
          <xdr:rowOff>219075</xdr:rowOff>
        </xdr:to>
        <xdr:sp macro="" textlink="">
          <xdr:nvSpPr>
            <xdr:cNvPr id="12300" name="Option Butto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III</a:t>
              </a:r>
              <a:endParaRPr lang="de-D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1466850</xdr:colOff>
          <xdr:row>27</xdr:row>
          <xdr:rowOff>123825</xdr:rowOff>
        </xdr:from>
        <xdr:to>
          <xdr:col>1</xdr:col>
          <xdr:colOff>2743200</xdr:colOff>
          <xdr:row>29</xdr:row>
          <xdr:rowOff>38100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1466850</xdr:colOff>
          <xdr:row>24</xdr:row>
          <xdr:rowOff>152400</xdr:rowOff>
        </xdr:from>
        <xdr:to>
          <xdr:col>1</xdr:col>
          <xdr:colOff>2743200</xdr:colOff>
          <xdr:row>26</xdr:row>
          <xdr:rowOff>38100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9526</xdr:colOff>
      <xdr:row>19</xdr:row>
      <xdr:rowOff>85726</xdr:rowOff>
    </xdr:from>
    <xdr:to>
      <xdr:col>6</xdr:col>
      <xdr:colOff>302401</xdr:colOff>
      <xdr:row>25</xdr:row>
      <xdr:rowOff>105142</xdr:rowOff>
    </xdr:to>
    <xdr:pic>
      <xdr:nvPicPr>
        <xdr:cNvPr id="24" name="Grafik 2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0" t="56703" r="12928" b="11701"/>
        <a:stretch/>
      </xdr:blipFill>
      <xdr:spPr>
        <a:xfrm>
          <a:off x="4791076" y="6496051"/>
          <a:ext cx="3960000" cy="135291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3</xdr:col>
      <xdr:colOff>9527</xdr:colOff>
      <xdr:row>29</xdr:row>
      <xdr:rowOff>38100</xdr:rowOff>
    </xdr:from>
    <xdr:ext cx="1152367" cy="357662"/>
    <xdr:sp macro="" textlink="">
      <xdr:nvSpPr>
        <xdr:cNvPr id="26" name="Textfeld 25"/>
        <xdr:cNvSpPr txBox="1"/>
      </xdr:nvSpPr>
      <xdr:spPr>
        <a:xfrm>
          <a:off x="4791077" y="8458200"/>
          <a:ext cx="1152367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u="sng">
              <a:solidFill>
                <a:schemeClr val="tx1">
                  <a:lumMod val="75000"/>
                  <a:lumOff val="25000"/>
                </a:schemeClr>
              </a:solidFill>
              <a:latin typeface="Times New Roman" pitchFamily="18" charset="0"/>
              <a:cs typeface="Times New Roman" pitchFamily="18" charset="0"/>
            </a:rPr>
            <a:t>flat or </a:t>
          </a:r>
        </a:p>
        <a:p>
          <a:r>
            <a:rPr lang="de-DE" sz="900" u="sng">
              <a:solidFill>
                <a:schemeClr val="tx1">
                  <a:lumMod val="75000"/>
                  <a:lumOff val="25000"/>
                </a:schemeClr>
              </a:solidFill>
              <a:latin typeface="Times New Roman" pitchFamily="18" charset="0"/>
              <a:cs typeface="Times New Roman" pitchFamily="18" charset="0"/>
            </a:rPr>
            <a:t>leightly profiled face</a:t>
          </a:r>
        </a:p>
      </xdr:txBody>
    </xdr:sp>
    <xdr:clientData/>
  </xdr:oneCellAnchor>
  <xdr:oneCellAnchor>
    <xdr:from>
      <xdr:col>3</xdr:col>
      <xdr:colOff>9527</xdr:colOff>
      <xdr:row>19</xdr:row>
      <xdr:rowOff>76200</xdr:rowOff>
    </xdr:from>
    <xdr:ext cx="770917" cy="224998"/>
    <xdr:sp macro="" textlink="">
      <xdr:nvSpPr>
        <xdr:cNvPr id="27" name="Textfeld 26"/>
        <xdr:cNvSpPr txBox="1"/>
      </xdr:nvSpPr>
      <xdr:spPr>
        <a:xfrm>
          <a:off x="4791077" y="6486525"/>
          <a:ext cx="77091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900" u="sng">
              <a:solidFill>
                <a:schemeClr val="tx1">
                  <a:lumMod val="75000"/>
                  <a:lumOff val="25000"/>
                </a:schemeClr>
              </a:solidFill>
              <a:latin typeface="Times New Roman" pitchFamily="18" charset="0"/>
              <a:cs typeface="Times New Roman" pitchFamily="18" charset="0"/>
            </a:rPr>
            <a:t>profiled face</a:t>
          </a:r>
        </a:p>
      </xdr:txBody>
    </xdr:sp>
    <xdr:clientData/>
  </xdr:oneCellAnchor>
  <xdr:twoCellAnchor>
    <xdr:from>
      <xdr:col>1</xdr:col>
      <xdr:colOff>2276475</xdr:colOff>
      <xdr:row>40</xdr:row>
      <xdr:rowOff>0</xdr:rowOff>
    </xdr:from>
    <xdr:to>
      <xdr:col>3</xdr:col>
      <xdr:colOff>85725</xdr:colOff>
      <xdr:row>41</xdr:row>
      <xdr:rowOff>0</xdr:rowOff>
    </xdr:to>
    <xdr:sp macro="" textlink="">
      <xdr:nvSpPr>
        <xdr:cNvPr id="29" name="Textfeld 28"/>
        <xdr:cNvSpPr txBox="1"/>
      </xdr:nvSpPr>
      <xdr:spPr>
        <a:xfrm>
          <a:off x="3038475" y="11925300"/>
          <a:ext cx="18288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itchFamily="34" charset="0"/>
              <a:cs typeface="Arial" pitchFamily="34" charset="0"/>
            </a:rPr>
            <a:t> t</a:t>
          </a:r>
          <a:r>
            <a:rPr lang="de-DE" sz="1100" baseline="-25000">
              <a:latin typeface="Arial" pitchFamily="34" charset="0"/>
              <a:cs typeface="Arial" pitchFamily="34" charset="0"/>
            </a:rPr>
            <a:t>d,i</a:t>
          </a:r>
          <a:r>
            <a:rPr lang="de-DE" sz="1100">
              <a:latin typeface="Arial" pitchFamily="34" charset="0"/>
              <a:cs typeface="Arial" pitchFamily="34" charset="0"/>
            </a:rPr>
            <a:t> = t</a:t>
          </a:r>
          <a:r>
            <a:rPr lang="de-DE" sz="1100" baseline="-25000">
              <a:latin typeface="Arial" pitchFamily="34" charset="0"/>
              <a:cs typeface="Arial" pitchFamily="34" charset="0"/>
            </a:rPr>
            <a:t>nom,i</a:t>
          </a:r>
          <a:r>
            <a:rPr lang="de-DE" sz="1100">
              <a:latin typeface="Arial" pitchFamily="34" charset="0"/>
              <a:cs typeface="Arial" pitchFamily="34" charset="0"/>
            </a:rPr>
            <a:t> - t</a:t>
          </a:r>
          <a:r>
            <a:rPr lang="de-DE" sz="1100" baseline="-25000">
              <a:latin typeface="Arial" pitchFamily="34" charset="0"/>
              <a:cs typeface="Arial" pitchFamily="34" charset="0"/>
            </a:rPr>
            <a:t>zinc</a:t>
          </a:r>
          <a:r>
            <a:rPr lang="de-DE" sz="1100">
              <a:latin typeface="Arial" pitchFamily="34" charset="0"/>
              <a:cs typeface="Arial" pitchFamily="34" charset="0"/>
            </a:rPr>
            <a:t> - 0,5 </a:t>
          </a:r>
          <a:r>
            <a:rPr lang="de-DE" sz="1100">
              <a:latin typeface="Arial" pitchFamily="34" charset="0"/>
              <a:cs typeface="Arial" pitchFamily="34" charset="0"/>
              <a:sym typeface="Symbol"/>
            </a:rPr>
            <a:t></a:t>
          </a:r>
          <a:r>
            <a:rPr lang="de-DE" sz="1100">
              <a:latin typeface="Arial" pitchFamily="34" charset="0"/>
              <a:cs typeface="Arial" pitchFamily="34" charset="0"/>
            </a:rPr>
            <a:t> t</a:t>
          </a:r>
          <a:r>
            <a:rPr lang="de-DE" sz="1100" baseline="-25000">
              <a:latin typeface="Arial" pitchFamily="34" charset="0"/>
              <a:cs typeface="Arial" pitchFamily="34" charset="0"/>
            </a:rPr>
            <a:t>tol</a:t>
          </a:r>
          <a:r>
            <a:rPr lang="de-DE" sz="1100" baseline="0">
              <a:latin typeface="Arial" pitchFamily="34" charset="0"/>
              <a:cs typeface="Arial" pitchFamily="34" charset="0"/>
            </a:rPr>
            <a:t> =</a:t>
          </a:r>
          <a:endParaRPr lang="de-DE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426244</xdr:colOff>
      <xdr:row>0</xdr:row>
      <xdr:rowOff>428623</xdr:rowOff>
    </xdr:from>
    <xdr:to>
      <xdr:col>7</xdr:col>
      <xdr:colOff>0</xdr:colOff>
      <xdr:row>0</xdr:row>
      <xdr:rowOff>713637</xdr:rowOff>
    </xdr:to>
    <xdr:grpSp>
      <xdr:nvGrpSpPr>
        <xdr:cNvPr id="2" name="Gruppieren 1"/>
        <xdr:cNvGrpSpPr/>
      </xdr:nvGrpSpPr>
      <xdr:grpSpPr>
        <a:xfrm>
          <a:off x="426244" y="428623"/>
          <a:ext cx="9231278" cy="285014"/>
          <a:chOff x="426244" y="428623"/>
          <a:chExt cx="9241631" cy="285014"/>
        </a:xfrm>
      </xdr:grpSpPr>
      <xdr:sp macro="" textlink="">
        <xdr:nvSpPr>
          <xdr:cNvPr id="47" name="Freeform 16"/>
          <xdr:cNvSpPr>
            <a:spLocks/>
          </xdr:cNvSpPr>
        </xdr:nvSpPr>
        <xdr:spPr bwMode="auto">
          <a:xfrm>
            <a:off x="426244" y="481345"/>
            <a:ext cx="9241631" cy="159436"/>
          </a:xfrm>
          <a:custGeom>
            <a:avLst/>
            <a:gdLst>
              <a:gd name="T0" fmla="*/ 0 w 5838"/>
              <a:gd name="T1" fmla="*/ 0 h 144"/>
              <a:gd name="T2" fmla="*/ 0 w 5838"/>
              <a:gd name="T3" fmla="*/ 144 h 144"/>
              <a:gd name="T4" fmla="*/ 5838 w 5838"/>
              <a:gd name="T5" fmla="*/ 144 h 144"/>
              <a:gd name="T6" fmla="*/ 5838 w 5838"/>
              <a:gd name="T7" fmla="*/ 0 h 144"/>
              <a:gd name="T8" fmla="*/ 0 w 5838"/>
              <a:gd name="T9" fmla="*/ 0 h 144"/>
              <a:gd name="T10" fmla="*/ 0 w 5838"/>
              <a:gd name="T11" fmla="*/ 0 h 1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5838" h="144">
                <a:moveTo>
                  <a:pt x="0" y="0"/>
                </a:moveTo>
                <a:lnTo>
                  <a:pt x="0" y="144"/>
                </a:lnTo>
                <a:lnTo>
                  <a:pt x="5838" y="144"/>
                </a:lnTo>
                <a:lnTo>
                  <a:pt x="5838" y="0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C5C6C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Rectangle 18"/>
          <xdr:cNvSpPr>
            <a:spLocks noChangeArrowheads="1"/>
          </xdr:cNvSpPr>
        </xdr:nvSpPr>
        <xdr:spPr bwMode="auto">
          <a:xfrm>
            <a:off x="428625" y="478624"/>
            <a:ext cx="9235804" cy="25408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9" name="Rectangle 18"/>
          <xdr:cNvSpPr>
            <a:spLocks noChangeArrowheads="1"/>
          </xdr:cNvSpPr>
        </xdr:nvSpPr>
        <xdr:spPr bwMode="auto">
          <a:xfrm>
            <a:off x="428625" y="629982"/>
            <a:ext cx="9235804" cy="25408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Rectangle 19"/>
          <xdr:cNvSpPr>
            <a:spLocks noChangeArrowheads="1"/>
          </xdr:cNvSpPr>
        </xdr:nvSpPr>
        <xdr:spPr bwMode="auto">
          <a:xfrm>
            <a:off x="739873" y="428623"/>
            <a:ext cx="1811787" cy="26742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36000" tIns="0" rIns="36000" bIns="0" anchor="t" upright="1">
            <a:noAutofit/>
          </a:bodyPr>
          <a:lstStyle/>
          <a:p>
            <a:pPr algn="ctr" rtl="0">
              <a:defRPr sz="1000"/>
            </a:pPr>
            <a:r>
              <a:rPr lang="de-DE" sz="1800" b="0" i="0" u="none" strike="noStrike" baseline="0">
                <a:solidFill>
                  <a:srgbClr val="008000"/>
                </a:solidFill>
                <a:latin typeface="Arial Rounded MT Bold"/>
              </a:rPr>
              <a:t>iS - engineering</a:t>
            </a:r>
          </a:p>
        </xdr:txBody>
      </xdr:sp>
      <xdr:sp macro="" textlink="">
        <xdr:nvSpPr>
          <xdr:cNvPr id="46" name="Rectangle 17"/>
          <xdr:cNvSpPr>
            <a:spLocks noChangeArrowheads="1"/>
          </xdr:cNvSpPr>
        </xdr:nvSpPr>
        <xdr:spPr bwMode="auto">
          <a:xfrm>
            <a:off x="5046527" y="630534"/>
            <a:ext cx="4618606" cy="25408"/>
          </a:xfrm>
          <a:prstGeom prst="rect">
            <a:avLst/>
          </a:prstGeom>
          <a:solidFill>
            <a:srgbClr val="FF0000"/>
          </a:solidFill>
          <a:ln>
            <a:noFill/>
          </a:ln>
          <a:extLst/>
        </xdr:spPr>
      </xdr:sp>
      <xdr:sp macro="" textlink="">
        <xdr:nvSpPr>
          <xdr:cNvPr id="44" name="Rectangle 17"/>
          <xdr:cNvSpPr>
            <a:spLocks noChangeArrowheads="1"/>
          </xdr:cNvSpPr>
        </xdr:nvSpPr>
        <xdr:spPr bwMode="auto">
          <a:xfrm>
            <a:off x="5046527" y="479119"/>
            <a:ext cx="4618606" cy="25408"/>
          </a:xfrm>
          <a:prstGeom prst="rect">
            <a:avLst/>
          </a:prstGeom>
          <a:solidFill>
            <a:srgbClr val="FF0000"/>
          </a:solidFill>
          <a:ln>
            <a:noFill/>
          </a:ln>
          <a:extLst/>
        </xdr:spPr>
      </xdr:sp>
      <xdr:sp macro="" textlink="">
        <xdr:nvSpPr>
          <xdr:cNvPr id="42" name="Rectangle 19"/>
          <xdr:cNvSpPr>
            <a:spLocks noChangeArrowheads="1"/>
          </xdr:cNvSpPr>
        </xdr:nvSpPr>
        <xdr:spPr bwMode="auto">
          <a:xfrm>
            <a:off x="5356017" y="429137"/>
            <a:ext cx="1073358" cy="28450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36000" tIns="0" rIns="36000" bIns="0" anchor="t" upright="1">
            <a:noAutofit/>
          </a:bodyPr>
          <a:lstStyle/>
          <a:p>
            <a:pPr algn="ctr" rtl="0">
              <a:defRPr sz="1000"/>
            </a:pPr>
            <a:r>
              <a:rPr lang="de-DE" sz="1800" b="0" i="0" u="none" strike="noStrike" baseline="0">
                <a:solidFill>
                  <a:srgbClr val="FF0000"/>
                </a:solidFill>
                <a:latin typeface="Arial Rounded MT Bold"/>
              </a:rPr>
              <a:t>iS-mainz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4</xdr:row>
          <xdr:rowOff>38100</xdr:rowOff>
        </xdr:from>
        <xdr:to>
          <xdr:col>1</xdr:col>
          <xdr:colOff>495300</xdr:colOff>
          <xdr:row>5</xdr:row>
          <xdr:rowOff>76200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5</xdr:row>
          <xdr:rowOff>161925</xdr:rowOff>
        </xdr:from>
        <xdr:to>
          <xdr:col>1</xdr:col>
          <xdr:colOff>476250</xdr:colOff>
          <xdr:row>6</xdr:row>
          <xdr:rowOff>161925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7</xdr:row>
          <xdr:rowOff>85725</xdr:rowOff>
        </xdr:from>
        <xdr:to>
          <xdr:col>1</xdr:col>
          <xdr:colOff>466725</xdr:colOff>
          <xdr:row>8</xdr:row>
          <xdr:rowOff>95250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412717</xdr:colOff>
      <xdr:row>21</xdr:row>
      <xdr:rowOff>46513</xdr:rowOff>
    </xdr:from>
    <xdr:ext cx="1654208" cy="7296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174717" y="3485038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−1</m:t>
                        </m:r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174717" y="3485038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−1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9</xdr:row>
          <xdr:rowOff>19050</xdr:rowOff>
        </xdr:from>
        <xdr:to>
          <xdr:col>1</xdr:col>
          <xdr:colOff>495300</xdr:colOff>
          <xdr:row>10</xdr:row>
          <xdr:rowOff>19050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431767</xdr:colOff>
      <xdr:row>31</xdr:row>
      <xdr:rowOff>8413</xdr:rowOff>
    </xdr:from>
    <xdr:ext cx="1654208" cy="5838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193767" y="5066188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(</m:t>
                            </m:r>
                            <m:func>
                              <m:funcPr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1100" b="0" i="0">
                                    <a:latin typeface="Cambria Math"/>
                                  </a:rPr>
                                  <m:t>sinh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el-GR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λ</m:t>
                                        </m:r>
                                      </m:num>
                                      <m:den>
                                        <m:r>
                                          <a:rPr lang="de-DE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func>
                          </m:e>
                          <m:sup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193767" y="5066188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〖(sinh⁡〖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2))〗〗^</a:t>
              </a:r>
              <a:r>
                <a:rPr lang="de-DE" sz="1100" b="0" i="0">
                  <a:latin typeface="Cambria Math"/>
                </a:rPr>
                <a:t>2/sinh⁡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142875</xdr:colOff>
      <xdr:row>35</xdr:row>
      <xdr:rowOff>36988</xdr:rowOff>
    </xdr:from>
    <xdr:ext cx="1654208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904875" y="5742463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904875" y="5742463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123825</xdr:colOff>
      <xdr:row>26</xdr:row>
      <xdr:rowOff>36988</xdr:rowOff>
    </xdr:from>
    <xdr:ext cx="2501933" cy="718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123825" y="42851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</m:t>
                        </m:r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λ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(1−2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ξ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)/2</m:t>
                                </m:r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123825" y="42851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450817</xdr:colOff>
      <xdr:row>5</xdr:row>
      <xdr:rowOff>36988</xdr:rowOff>
    </xdr:from>
    <xdr:ext cx="463583" cy="405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2146267" y="84661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de-DE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λ</m:t>
                      </m:r>
                    </m:num>
                    <m:den>
                      <m:r>
                        <a:rPr lang="de-DE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den>
                  </m:f>
                </m:oMath>
              </a14:m>
              <a:r>
                <a:rPr lang="de-DE" sz="1400"/>
                <a:t> =</a:t>
              </a:r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2146267" y="84661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400"/>
                <a:t> =</a:t>
              </a:r>
            </a:p>
          </xdr:txBody>
        </xdr:sp>
      </mc:Fallback>
    </mc:AlternateContent>
    <xdr:clientData/>
  </xdr:oneCellAnchor>
  <xdr:oneCellAnchor>
    <xdr:from>
      <xdr:col>12</xdr:col>
      <xdr:colOff>617091</xdr:colOff>
      <xdr:row>6</xdr:row>
      <xdr:rowOff>62845</xdr:rowOff>
    </xdr:from>
    <xdr:ext cx="2501933" cy="4948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1389866" y="1034395"/>
              <a:ext cx="2501933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14:m>
                <m:oMath xmlns:m="http://schemas.openxmlformats.org/officeDocument/2006/math">
                  <m:f>
                    <m:fPr>
                      <m:ctrlPr>
                        <a:rPr lang="de-DE" sz="1100" i="1">
                          <a:latin typeface="Cambria Math"/>
                        </a:rPr>
                      </m:ctrlPr>
                    </m:fPr>
                    <m:num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−</m:t>
                      </m:r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begChr m:val="["/>
                              <m:endChr m:val="]"/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m:rPr>
                                  <m:sty m:val="p"/>
                                </m:rPr>
                                <a:rPr lang="el-GR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λ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(1−2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∙</m:t>
                              </m:r>
                              <m:r>
                                <m:rPr>
                                  <m:sty m:val="p"/>
                                </m:rPr>
                                <a:rPr lang="el-G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ξ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)/2</m:t>
                              </m:r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>
                          <a:effectLst/>
                        </a:rPr>
                        <m:t> </m:t>
                      </m:r>
                    </m:num>
                    <m:den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1389866" y="1034395"/>
              <a:ext cx="2501933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40820</xdr:colOff>
      <xdr:row>5</xdr:row>
      <xdr:rowOff>106724</xdr:rowOff>
    </xdr:from>
    <xdr:ext cx="2161835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3232945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2.) </m:t>
                    </m:r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3232945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2.)   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2</xdr:row>
          <xdr:rowOff>38100</xdr:rowOff>
        </xdr:from>
        <xdr:to>
          <xdr:col>0</xdr:col>
          <xdr:colOff>628650</xdr:colOff>
          <xdr:row>2</xdr:row>
          <xdr:rowOff>123825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3</xdr:row>
          <xdr:rowOff>19050</xdr:rowOff>
        </xdr:from>
        <xdr:to>
          <xdr:col>0</xdr:col>
          <xdr:colOff>628650</xdr:colOff>
          <xdr:row>3</xdr:row>
          <xdr:rowOff>104775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3</xdr:row>
          <xdr:rowOff>142875</xdr:rowOff>
        </xdr:from>
        <xdr:to>
          <xdr:col>0</xdr:col>
          <xdr:colOff>638175</xdr:colOff>
          <xdr:row>4</xdr:row>
          <xdr:rowOff>66675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412717</xdr:colOff>
      <xdr:row>21</xdr:row>
      <xdr:rowOff>46513</xdr:rowOff>
    </xdr:from>
    <xdr:ext cx="1654208" cy="7296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174717" y="3485038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−1</m:t>
                        </m:r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174717" y="3485038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−1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</xdr:row>
          <xdr:rowOff>114300</xdr:rowOff>
        </xdr:from>
        <xdr:to>
          <xdr:col>0</xdr:col>
          <xdr:colOff>628650</xdr:colOff>
          <xdr:row>5</xdr:row>
          <xdr:rowOff>28575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431767</xdr:colOff>
      <xdr:row>31</xdr:row>
      <xdr:rowOff>8413</xdr:rowOff>
    </xdr:from>
    <xdr:ext cx="1654208" cy="5838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193767" y="5066188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(</m:t>
                            </m:r>
                            <m:func>
                              <m:funcPr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1100" b="0" i="0">
                                    <a:latin typeface="Cambria Math"/>
                                  </a:rPr>
                                  <m:t>sinh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el-GR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λ</m:t>
                                        </m:r>
                                      </m:num>
                                      <m:den>
                                        <m:r>
                                          <a:rPr lang="de-DE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func>
                          </m:e>
                          <m:sup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193767" y="5066188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〖(sinh⁡〖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2))〗〗^</a:t>
              </a:r>
              <a:r>
                <a:rPr lang="de-DE" sz="1100" b="0" i="0">
                  <a:latin typeface="Cambria Math"/>
                </a:rPr>
                <a:t>2/sinh⁡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142875</xdr:colOff>
      <xdr:row>35</xdr:row>
      <xdr:rowOff>36988</xdr:rowOff>
    </xdr:from>
    <xdr:ext cx="1654208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904875" y="5742463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904875" y="5742463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123825</xdr:colOff>
      <xdr:row>26</xdr:row>
      <xdr:rowOff>36988</xdr:rowOff>
    </xdr:from>
    <xdr:ext cx="2501933" cy="718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123825" y="42851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</m:t>
                        </m:r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λ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(1−2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ξ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)/2</m:t>
                                </m:r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123825" y="42851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450817</xdr:colOff>
      <xdr:row>5</xdr:row>
      <xdr:rowOff>36988</xdr:rowOff>
    </xdr:from>
    <xdr:ext cx="463583" cy="405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2146267" y="84661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de-DE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λ</m:t>
                      </m:r>
                    </m:num>
                    <m:den>
                      <m:r>
                        <a:rPr lang="de-DE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den>
                  </m:f>
                </m:oMath>
              </a14:m>
              <a:r>
                <a:rPr lang="de-DE" sz="1400"/>
                <a:t> =</a:t>
              </a:r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2146267" y="84661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400"/>
                <a:t> =</a:t>
              </a:r>
            </a:p>
          </xdr:txBody>
        </xdr:sp>
      </mc:Fallback>
    </mc:AlternateContent>
    <xdr:clientData/>
  </xdr:oneCellAnchor>
  <xdr:oneCellAnchor>
    <xdr:from>
      <xdr:col>12</xdr:col>
      <xdr:colOff>617091</xdr:colOff>
      <xdr:row>6</xdr:row>
      <xdr:rowOff>62845</xdr:rowOff>
    </xdr:from>
    <xdr:ext cx="2501933" cy="4948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1389866" y="1034395"/>
              <a:ext cx="2501933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14:m>
                <m:oMath xmlns:m="http://schemas.openxmlformats.org/officeDocument/2006/math">
                  <m:f>
                    <m:fPr>
                      <m:ctrlPr>
                        <a:rPr lang="de-DE" sz="1100" i="1">
                          <a:latin typeface="Cambria Math"/>
                        </a:rPr>
                      </m:ctrlPr>
                    </m:fPr>
                    <m:num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−</m:t>
                      </m:r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begChr m:val="["/>
                              <m:endChr m:val="]"/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m:rPr>
                                  <m:sty m:val="p"/>
                                </m:rPr>
                                <a:rPr lang="el-GR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λ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(1−2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∙</m:t>
                              </m:r>
                              <m:r>
                                <m:rPr>
                                  <m:sty m:val="p"/>
                                </m:rPr>
                                <a:rPr lang="el-G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ξ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)/2</m:t>
                              </m:r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>
                          <a:effectLst/>
                        </a:rPr>
                        <m:t> </m:t>
                      </m:r>
                    </m:num>
                    <m:den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1389866" y="1034395"/>
              <a:ext cx="2501933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40820</xdr:colOff>
      <xdr:row>5</xdr:row>
      <xdr:rowOff>106724</xdr:rowOff>
    </xdr:from>
    <xdr:ext cx="2161835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3232945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2.) </m:t>
                    </m:r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3232945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2.)   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0</xdr:row>
      <xdr:rowOff>403412</xdr:rowOff>
    </xdr:from>
    <xdr:to>
      <xdr:col>9</xdr:col>
      <xdr:colOff>1203770</xdr:colOff>
      <xdr:row>0</xdr:row>
      <xdr:rowOff>793199</xdr:rowOff>
    </xdr:to>
    <xdr:grpSp>
      <xdr:nvGrpSpPr>
        <xdr:cNvPr id="29" name="Gruppieren 28"/>
        <xdr:cNvGrpSpPr/>
      </xdr:nvGrpSpPr>
      <xdr:grpSpPr>
        <a:xfrm>
          <a:off x="280146" y="403412"/>
          <a:ext cx="12813065" cy="389787"/>
          <a:chOff x="369793" y="391506"/>
          <a:chExt cx="12712212" cy="389787"/>
        </a:xfrm>
      </xdr:grpSpPr>
      <xdr:grpSp>
        <xdr:nvGrpSpPr>
          <xdr:cNvPr id="30" name="Gruppieren 29"/>
          <xdr:cNvGrpSpPr/>
        </xdr:nvGrpSpPr>
        <xdr:grpSpPr>
          <a:xfrm>
            <a:off x="369793" y="391506"/>
            <a:ext cx="12712212" cy="356173"/>
            <a:chOff x="369793" y="391506"/>
            <a:chExt cx="12712212" cy="356173"/>
          </a:xfrm>
        </xdr:grpSpPr>
        <xdr:grpSp>
          <xdr:nvGrpSpPr>
            <xdr:cNvPr id="32" name="Gruppieren 31"/>
            <xdr:cNvGrpSpPr/>
          </xdr:nvGrpSpPr>
          <xdr:grpSpPr>
            <a:xfrm>
              <a:off x="369793" y="391506"/>
              <a:ext cx="12712212" cy="356173"/>
              <a:chOff x="419100" y="444319"/>
              <a:chExt cx="9241869" cy="252858"/>
            </a:xfrm>
          </xdr:grpSpPr>
          <xdr:grpSp>
            <xdr:nvGrpSpPr>
              <xdr:cNvPr id="34" name="Group 15"/>
              <xdr:cNvGrpSpPr>
                <a:grpSpLocks/>
              </xdr:cNvGrpSpPr>
            </xdr:nvGrpSpPr>
            <xdr:grpSpPr bwMode="auto">
              <a:xfrm>
                <a:off x="419100" y="444319"/>
                <a:ext cx="9241869" cy="252858"/>
                <a:chOff x="-47" y="464"/>
                <a:chExt cx="16089" cy="410"/>
              </a:xfrm>
            </xdr:grpSpPr>
            <xdr:sp macro="" textlink="">
              <xdr:nvSpPr>
                <xdr:cNvPr id="36" name="Freeform 16"/>
                <xdr:cNvSpPr>
                  <a:spLocks/>
                </xdr:cNvSpPr>
              </xdr:nvSpPr>
              <xdr:spPr bwMode="auto">
                <a:xfrm>
                  <a:off x="-27" y="547"/>
                  <a:ext cx="16069" cy="251"/>
                </a:xfrm>
                <a:custGeom>
                  <a:avLst/>
                  <a:gdLst>
                    <a:gd name="T0" fmla="*/ 0 w 5838"/>
                    <a:gd name="T1" fmla="*/ 0 h 144"/>
                    <a:gd name="T2" fmla="*/ 0 w 5838"/>
                    <a:gd name="T3" fmla="*/ 144 h 144"/>
                    <a:gd name="T4" fmla="*/ 5838 w 5838"/>
                    <a:gd name="T5" fmla="*/ 144 h 144"/>
                    <a:gd name="T6" fmla="*/ 5838 w 5838"/>
                    <a:gd name="T7" fmla="*/ 0 h 144"/>
                    <a:gd name="T8" fmla="*/ 0 w 5838"/>
                    <a:gd name="T9" fmla="*/ 0 h 144"/>
                    <a:gd name="T10" fmla="*/ 0 w 5838"/>
                    <a:gd name="T11" fmla="*/ 0 h 14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5838" h="144">
                      <a:moveTo>
                        <a:pt x="0" y="0"/>
                      </a:moveTo>
                      <a:lnTo>
                        <a:pt x="0" y="144"/>
                      </a:lnTo>
                      <a:lnTo>
                        <a:pt x="5838" y="144"/>
                      </a:lnTo>
                      <a:lnTo>
                        <a:pt x="5838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C5C6C7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7" name="Rectangle 17"/>
                <xdr:cNvSpPr>
                  <a:spLocks noChangeArrowheads="1"/>
                </xdr:cNvSpPr>
              </xdr:nvSpPr>
              <xdr:spPr bwMode="auto">
                <a:xfrm>
                  <a:off x="-44" y="532"/>
                  <a:ext cx="16073" cy="40"/>
                </a:xfrm>
                <a:prstGeom prst="rect">
                  <a:avLst/>
                </a:prstGeom>
                <a:solidFill>
                  <a:srgbClr val="008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8" name="Rectangle 18"/>
                <xdr:cNvSpPr>
                  <a:spLocks noChangeArrowheads="1"/>
                </xdr:cNvSpPr>
              </xdr:nvSpPr>
              <xdr:spPr bwMode="auto">
                <a:xfrm>
                  <a:off x="-47" y="781"/>
                  <a:ext cx="16083" cy="40"/>
                </a:xfrm>
                <a:prstGeom prst="rect">
                  <a:avLst/>
                </a:prstGeom>
                <a:solidFill>
                  <a:srgbClr val="008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39" name="Rectangle 19"/>
                <xdr:cNvSpPr>
                  <a:spLocks noChangeArrowheads="1"/>
                </xdr:cNvSpPr>
              </xdr:nvSpPr>
              <xdr:spPr bwMode="auto">
                <a:xfrm>
                  <a:off x="480" y="464"/>
                  <a:ext cx="3072" cy="410"/>
                </a:xfrm>
                <a:prstGeom prst="rect">
                  <a:avLst/>
                </a:pr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 lIns="36000" tIns="0" rIns="36000" bIns="0" anchor="t" upright="1">
                  <a:spAutoFit/>
                </a:bodyPr>
                <a:lstStyle/>
                <a:p>
                  <a:pPr algn="ctr" rtl="0">
                    <a:defRPr sz="1000"/>
                  </a:pPr>
                  <a:r>
                    <a:rPr lang="de-DE" sz="2400" b="0" i="0" u="none" strike="noStrike" baseline="0">
                      <a:solidFill>
                        <a:srgbClr val="008000"/>
                      </a:solidFill>
                      <a:latin typeface="Arial Rounded MT Bold"/>
                    </a:rPr>
                    <a:t>iS - engineering</a:t>
                  </a:r>
                </a:p>
              </xdr:txBody>
            </xdr:sp>
          </xdr:grpSp>
          <xdr:sp macro="" textlink="">
            <xdr:nvSpPr>
              <xdr:cNvPr id="35" name="Rectangle 17"/>
              <xdr:cNvSpPr>
                <a:spLocks noChangeArrowheads="1"/>
              </xdr:cNvSpPr>
            </xdr:nvSpPr>
            <xdr:spPr bwMode="auto">
              <a:xfrm>
                <a:off x="5038311" y="640355"/>
                <a:ext cx="4619915" cy="24669"/>
              </a:xfrm>
              <a:prstGeom prst="rect">
                <a:avLst/>
              </a:prstGeom>
              <a:solidFill>
                <a:srgbClr val="FF0000"/>
              </a:solidFill>
              <a:ln>
                <a:noFill/>
              </a:ln>
              <a:extLst/>
            </xdr:spPr>
          </xdr:sp>
        </xdr:grpSp>
        <xdr:sp macro="" textlink="">
          <xdr:nvSpPr>
            <xdr:cNvPr id="33" name="Rectangle 17"/>
            <xdr:cNvSpPr>
              <a:spLocks noChangeArrowheads="1"/>
            </xdr:cNvSpPr>
          </xdr:nvSpPr>
          <xdr:spPr bwMode="auto">
            <a:xfrm>
              <a:off x="6723529" y="447535"/>
              <a:ext cx="6354704" cy="34748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/>
          </xdr:spPr>
        </xdr:sp>
      </xdr:grpSp>
      <xdr:sp macro="" textlink="">
        <xdr:nvSpPr>
          <xdr:cNvPr id="31" name="Rectangle 19"/>
          <xdr:cNvSpPr>
            <a:spLocks noChangeArrowheads="1"/>
          </xdr:cNvSpPr>
        </xdr:nvSpPr>
        <xdr:spPr bwMode="auto">
          <a:xfrm>
            <a:off x="7126941" y="392206"/>
            <a:ext cx="1363647" cy="38908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36000" tIns="0" rIns="36000" bIns="0" anchor="t" upright="1">
            <a:noAutofit/>
          </a:bodyPr>
          <a:lstStyle/>
          <a:p>
            <a:pPr algn="ctr" rtl="0">
              <a:defRPr sz="1000"/>
            </a:pPr>
            <a:r>
              <a:rPr lang="de-DE" sz="2400" b="0" i="0" u="none" strike="noStrike" baseline="0">
                <a:solidFill>
                  <a:srgbClr val="FF0000"/>
                </a:solidFill>
                <a:latin typeface="Arial Rounded MT Bold"/>
              </a:rPr>
              <a:t>iS-mainz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28</xdr:row>
      <xdr:rowOff>104775</xdr:rowOff>
    </xdr:from>
    <xdr:to>
      <xdr:col>1</xdr:col>
      <xdr:colOff>414338</xdr:colOff>
      <xdr:row>28</xdr:row>
      <xdr:rowOff>1000125</xdr:rowOff>
    </xdr:to>
    <xdr:pic>
      <xdr:nvPicPr>
        <xdr:cNvPr id="8308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91275"/>
          <a:ext cx="312420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567758</xdr:colOff>
      <xdr:row>28</xdr:row>
      <xdr:rowOff>54088</xdr:rowOff>
    </xdr:from>
    <xdr:to>
      <xdr:col>4</xdr:col>
      <xdr:colOff>2407104</xdr:colOff>
      <xdr:row>28</xdr:row>
      <xdr:rowOff>1025638</xdr:rowOff>
    </xdr:to>
    <xdr:pic>
      <xdr:nvPicPr>
        <xdr:cNvPr id="8309" name="Picture 7" descr="Spannung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5995" y="6628039"/>
          <a:ext cx="3718832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66675</xdr:rowOff>
        </xdr:from>
        <xdr:to>
          <xdr:col>4</xdr:col>
          <xdr:colOff>1438275</xdr:colOff>
          <xdr:row>8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66675</xdr:rowOff>
        </xdr:from>
        <xdr:to>
          <xdr:col>4</xdr:col>
          <xdr:colOff>1495425</xdr:colOff>
          <xdr:row>4</xdr:row>
          <xdr:rowOff>142875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2819400</xdr:colOff>
          <xdr:row>3</xdr:row>
          <xdr:rowOff>190500</xdr:rowOff>
        </xdr:from>
        <xdr:to>
          <xdr:col>5</xdr:col>
          <xdr:colOff>1057275</xdr:colOff>
          <xdr:row>12</xdr:row>
          <xdr:rowOff>95250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29</xdr:row>
      <xdr:rowOff>104775</xdr:rowOff>
    </xdr:from>
    <xdr:to>
      <xdr:col>1</xdr:col>
      <xdr:colOff>414338</xdr:colOff>
      <xdr:row>29</xdr:row>
      <xdr:rowOff>1000125</xdr:rowOff>
    </xdr:to>
    <xdr:pic>
      <xdr:nvPicPr>
        <xdr:cNvPr id="2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591300"/>
          <a:ext cx="3119438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29</xdr:row>
      <xdr:rowOff>28575</xdr:rowOff>
    </xdr:from>
    <xdr:to>
      <xdr:col>4</xdr:col>
      <xdr:colOff>3019425</xdr:colOff>
      <xdr:row>29</xdr:row>
      <xdr:rowOff>1000125</xdr:rowOff>
    </xdr:to>
    <xdr:pic>
      <xdr:nvPicPr>
        <xdr:cNvPr id="3" name="Picture 7" descr="Spannung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515100"/>
          <a:ext cx="3714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12</xdr:row>
          <xdr:rowOff>133350</xdr:rowOff>
        </xdr:from>
        <xdr:to>
          <xdr:col>4</xdr:col>
          <xdr:colOff>1304925</xdr:colOff>
          <xdr:row>14</xdr:row>
          <xdr:rowOff>76200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</xdr:row>
          <xdr:rowOff>133350</xdr:rowOff>
        </xdr:from>
        <xdr:to>
          <xdr:col>4</xdr:col>
          <xdr:colOff>1447800</xdr:colOff>
          <xdr:row>6</xdr:row>
          <xdr:rowOff>161925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1733550</xdr:colOff>
          <xdr:row>2</xdr:row>
          <xdr:rowOff>57150</xdr:rowOff>
        </xdr:from>
        <xdr:to>
          <xdr:col>5</xdr:col>
          <xdr:colOff>1019175</xdr:colOff>
          <xdr:row>18</xdr:row>
          <xdr:rowOff>0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29</xdr:row>
      <xdr:rowOff>104775</xdr:rowOff>
    </xdr:from>
    <xdr:to>
      <xdr:col>1</xdr:col>
      <xdr:colOff>414338</xdr:colOff>
      <xdr:row>29</xdr:row>
      <xdr:rowOff>1000125</xdr:rowOff>
    </xdr:to>
    <xdr:pic>
      <xdr:nvPicPr>
        <xdr:cNvPr id="2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791325"/>
          <a:ext cx="3119438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29</xdr:row>
      <xdr:rowOff>28575</xdr:rowOff>
    </xdr:from>
    <xdr:to>
      <xdr:col>4</xdr:col>
      <xdr:colOff>3019425</xdr:colOff>
      <xdr:row>29</xdr:row>
      <xdr:rowOff>1000125</xdr:rowOff>
    </xdr:to>
    <xdr:pic>
      <xdr:nvPicPr>
        <xdr:cNvPr id="3" name="Picture 7" descr="Spannung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715125"/>
          <a:ext cx="37147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161925</xdr:rowOff>
        </xdr:from>
        <xdr:to>
          <xdr:col>4</xdr:col>
          <xdr:colOff>1371600</xdr:colOff>
          <xdr:row>14</xdr:row>
          <xdr:rowOff>76200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66675</xdr:rowOff>
        </xdr:from>
        <xdr:to>
          <xdr:col>4</xdr:col>
          <xdr:colOff>1152525</xdr:colOff>
          <xdr:row>6</xdr:row>
          <xdr:rowOff>133350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1800225</xdr:colOff>
          <xdr:row>1</xdr:row>
          <xdr:rowOff>0</xdr:rowOff>
        </xdr:from>
        <xdr:to>
          <xdr:col>5</xdr:col>
          <xdr:colOff>904875</xdr:colOff>
          <xdr:row>15</xdr:row>
          <xdr:rowOff>171450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95250</xdr:rowOff>
        </xdr:from>
        <xdr:to>
          <xdr:col>4</xdr:col>
          <xdr:colOff>1428750</xdr:colOff>
          <xdr:row>44</xdr:row>
          <xdr:rowOff>38100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0</xdr:rowOff>
        </xdr:from>
        <xdr:to>
          <xdr:col>4</xdr:col>
          <xdr:colOff>1533525</xdr:colOff>
          <xdr:row>42</xdr:row>
          <xdr:rowOff>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13</xdr:row>
      <xdr:rowOff>9525</xdr:rowOff>
    </xdr:from>
    <xdr:to>
      <xdr:col>4</xdr:col>
      <xdr:colOff>409575</xdr:colOff>
      <xdr:row>14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895725"/>
          <a:ext cx="3943350" cy="160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180975</xdr:rowOff>
        </xdr:from>
        <xdr:to>
          <xdr:col>4</xdr:col>
          <xdr:colOff>762000</xdr:colOff>
          <xdr:row>46</xdr:row>
          <xdr:rowOff>114300</xdr:rowOff>
        </xdr:to>
        <xdr:sp macro="" textlink="">
          <xdr:nvSpPr>
            <xdr:cNvPr id="25603" name="Object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48</xdr:row>
      <xdr:rowOff>9524</xdr:rowOff>
    </xdr:from>
    <xdr:to>
      <xdr:col>0</xdr:col>
      <xdr:colOff>1905000</xdr:colOff>
      <xdr:row>48</xdr:row>
      <xdr:rowOff>533399</xdr:rowOff>
    </xdr:to>
    <xdr:pic>
      <xdr:nvPicPr>
        <xdr:cNvPr id="7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058774"/>
          <a:ext cx="1876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48</xdr:row>
      <xdr:rowOff>19049</xdr:rowOff>
    </xdr:from>
    <xdr:to>
      <xdr:col>4</xdr:col>
      <xdr:colOff>813626</xdr:colOff>
      <xdr:row>48</xdr:row>
      <xdr:rowOff>561974</xdr:rowOff>
    </xdr:to>
    <xdr:pic>
      <xdr:nvPicPr>
        <xdr:cNvPr id="8" name="Picture 7" descr="Spannungen quasi eb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068299"/>
          <a:ext cx="16613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95250</xdr:rowOff>
        </xdr:from>
        <xdr:to>
          <xdr:col>4</xdr:col>
          <xdr:colOff>1428750</xdr:colOff>
          <xdr:row>42</xdr:row>
          <xdr:rowOff>38100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4</xdr:col>
          <xdr:colOff>1533525</xdr:colOff>
          <xdr:row>40</xdr:row>
          <xdr:rowOff>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13</xdr:row>
      <xdr:rowOff>9525</xdr:rowOff>
    </xdr:from>
    <xdr:to>
      <xdr:col>4</xdr:col>
      <xdr:colOff>409575</xdr:colOff>
      <xdr:row>14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895725"/>
          <a:ext cx="2286000" cy="198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180975</xdr:rowOff>
        </xdr:from>
        <xdr:to>
          <xdr:col>4</xdr:col>
          <xdr:colOff>762000</xdr:colOff>
          <xdr:row>44</xdr:row>
          <xdr:rowOff>114300</xdr:rowOff>
        </xdr:to>
        <xdr:sp macro="" textlink="">
          <xdr:nvSpPr>
            <xdr:cNvPr id="36867" name="Object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46</xdr:row>
      <xdr:rowOff>9524</xdr:rowOff>
    </xdr:from>
    <xdr:to>
      <xdr:col>0</xdr:col>
      <xdr:colOff>1905000</xdr:colOff>
      <xdr:row>46</xdr:row>
      <xdr:rowOff>533399</xdr:rowOff>
    </xdr:to>
    <xdr:pic>
      <xdr:nvPicPr>
        <xdr:cNvPr id="6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058774"/>
          <a:ext cx="1876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19049</xdr:rowOff>
    </xdr:from>
    <xdr:to>
      <xdr:col>4</xdr:col>
      <xdr:colOff>813626</xdr:colOff>
      <xdr:row>46</xdr:row>
      <xdr:rowOff>561974</xdr:rowOff>
    </xdr:to>
    <xdr:pic>
      <xdr:nvPicPr>
        <xdr:cNvPr id="7" name="Picture 7" descr="Spannungen quasi eb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068299"/>
          <a:ext cx="16613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95250</xdr:rowOff>
        </xdr:from>
        <xdr:to>
          <xdr:col>4</xdr:col>
          <xdr:colOff>1428750</xdr:colOff>
          <xdr:row>42</xdr:row>
          <xdr:rowOff>38100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0</xdr:rowOff>
        </xdr:from>
        <xdr:to>
          <xdr:col>4</xdr:col>
          <xdr:colOff>1533525</xdr:colOff>
          <xdr:row>40</xdr:row>
          <xdr:rowOff>0</xdr:rowOff>
        </xdr:to>
        <xdr:sp macro="" textlink="">
          <xdr:nvSpPr>
            <xdr:cNvPr id="37890" name="Object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13</xdr:row>
      <xdr:rowOff>9525</xdr:rowOff>
    </xdr:from>
    <xdr:to>
      <xdr:col>4</xdr:col>
      <xdr:colOff>409575</xdr:colOff>
      <xdr:row>14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895725"/>
          <a:ext cx="2286000" cy="198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180975</xdr:rowOff>
        </xdr:from>
        <xdr:to>
          <xdr:col>4</xdr:col>
          <xdr:colOff>762000</xdr:colOff>
          <xdr:row>44</xdr:row>
          <xdr:rowOff>114300</xdr:rowOff>
        </xdr:to>
        <xdr:sp macro="" textlink="">
          <xdr:nvSpPr>
            <xdr:cNvPr id="37891" name="Object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46</xdr:row>
      <xdr:rowOff>9524</xdr:rowOff>
    </xdr:from>
    <xdr:to>
      <xdr:col>0</xdr:col>
      <xdr:colOff>1905000</xdr:colOff>
      <xdr:row>46</xdr:row>
      <xdr:rowOff>533399</xdr:rowOff>
    </xdr:to>
    <xdr:pic>
      <xdr:nvPicPr>
        <xdr:cNvPr id="6" name="Picture 6" descr="Schnittgrößen profilier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058774"/>
          <a:ext cx="1876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19049</xdr:rowOff>
    </xdr:from>
    <xdr:to>
      <xdr:col>4</xdr:col>
      <xdr:colOff>813626</xdr:colOff>
      <xdr:row>46</xdr:row>
      <xdr:rowOff>561974</xdr:rowOff>
    </xdr:to>
    <xdr:pic>
      <xdr:nvPicPr>
        <xdr:cNvPr id="7" name="Picture 7" descr="Spannungen quasi eb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068299"/>
          <a:ext cx="166135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</xdr:row>
          <xdr:rowOff>57150</xdr:rowOff>
        </xdr:from>
        <xdr:to>
          <xdr:col>1</xdr:col>
          <xdr:colOff>542925</xdr:colOff>
          <xdr:row>6</xdr:row>
          <xdr:rowOff>38100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6</xdr:row>
          <xdr:rowOff>0</xdr:rowOff>
        </xdr:from>
        <xdr:to>
          <xdr:col>1</xdr:col>
          <xdr:colOff>552450</xdr:colOff>
          <xdr:row>7</xdr:row>
          <xdr:rowOff>95250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7</xdr:row>
          <xdr:rowOff>95250</xdr:rowOff>
        </xdr:from>
        <xdr:to>
          <xdr:col>1</xdr:col>
          <xdr:colOff>542925</xdr:colOff>
          <xdr:row>9</xdr:row>
          <xdr:rowOff>9525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412717</xdr:colOff>
      <xdr:row>21</xdr:row>
      <xdr:rowOff>46513</xdr:rowOff>
    </xdr:from>
    <xdr:ext cx="1654208" cy="7296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412717" y="2637313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−1</m:t>
                        </m:r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412717" y="2637313"/>
              <a:ext cx="1654208" cy="7296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-1</a:t>
              </a:r>
              <a:r>
                <a:rPr lang="de-DE" i="0">
                  <a:effectLst/>
                </a:rPr>
                <a:t> </a:t>
              </a:r>
              <a:r>
                <a:rPr lang="de-DE" sz="1100" i="0">
                  <a:effectLst/>
                  <a:latin typeface="Cambria Math"/>
                </a:rPr>
                <a:t>" 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9</xdr:row>
          <xdr:rowOff>28575</xdr:rowOff>
        </xdr:from>
        <xdr:to>
          <xdr:col>1</xdr:col>
          <xdr:colOff>571500</xdr:colOff>
          <xdr:row>10</xdr:row>
          <xdr:rowOff>152400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431767</xdr:colOff>
      <xdr:row>31</xdr:row>
      <xdr:rowOff>8413</xdr:rowOff>
    </xdr:from>
    <xdr:ext cx="1654208" cy="5838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431767" y="4218463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(</m:t>
                            </m:r>
                            <m:func>
                              <m:funcPr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de-DE" sz="1100" b="0" i="0">
                                    <a:latin typeface="Cambria Math"/>
                                  </a:rPr>
                                  <m:t>sinh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m:rPr>
                                            <m:sty m:val="p"/>
                                          </m:rPr>
                                          <a:rPr lang="el-GR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λ</m:t>
                                        </m:r>
                                      </m:num>
                                      <m:den>
                                        <m:r>
                                          <a:rPr lang="de-DE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den>
                                    </m:f>
                                  </m:e>
                                </m:d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func>
                          </m:e>
                          <m:sup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431767" y="4218463"/>
              <a:ext cx="1654208" cy="5838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〖(sinh⁡〖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)〗〗^</a:t>
              </a:r>
              <a:r>
                <a:rPr lang="de-DE" sz="1100" b="0" i="0">
                  <a:latin typeface="Cambria Math"/>
                </a:rPr>
                <a:t>2/sinh⁡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de-DE" sz="1100" b="0" i="0">
                  <a:latin typeface="Cambria Math"/>
                </a:rPr>
                <a:t> 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142875</xdr:colOff>
      <xdr:row>35</xdr:row>
      <xdr:rowOff>36988</xdr:rowOff>
    </xdr:from>
    <xdr:ext cx="1654208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142875" y="4894738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142875" y="4894738"/>
              <a:ext cx="1654208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b="0" i="0">
                  <a:latin typeface="Cambria Math"/>
                </a:rPr>
                <a:t>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2)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</a:t>
              </a:r>
              <a:r>
                <a:rPr lang="de-DE" sz="1100" b="0" i="0">
                  <a:latin typeface="Cambria Math"/>
                </a:rPr>
                <a:t> 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123825</xdr:colOff>
      <xdr:row>26</xdr:row>
      <xdr:rowOff>36988</xdr:rowOff>
    </xdr:from>
    <xdr:ext cx="2501933" cy="718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123825" y="42470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−</m:t>
                        </m:r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m:rPr>
                                    <m:sty m:val="p"/>
                                  </m:rPr>
                                  <a:rPr lang="el-G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λ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(1−2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∙</m:t>
                                </m:r>
                                <m:r>
                                  <m:rPr>
                                    <m:sty m:val="p"/>
                                  </m:rPr>
                                  <a:rPr lang="el-GR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ξ</m:t>
                                </m:r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Cambria Math"/>
                                    <a:cs typeface="+mn-cs"/>
                                  </a:rPr>
                                  <m:t>)/2</m:t>
                                </m:r>
                              </m:e>
                            </m:d>
                          </m:e>
                        </m:func>
                        <m:r>
                          <m:rPr>
                            <m:nor/>
                          </m:rPr>
                          <a:rPr lang="de-DE">
                            <a:effectLst/>
                          </a:rPr>
                          <m:t> </m:t>
                        </m:r>
                      </m:num>
                      <m:den>
                        <m:func>
                          <m:func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i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cosh</m:t>
                            </m:r>
                          </m:fName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=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123825" y="4247038"/>
              <a:ext cx="2501933" cy="718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r>
                <a:rPr lang="de-DE" sz="1100" b="0" i="0">
                  <a:latin typeface="Cambria Math"/>
                </a:rPr>
                <a:t>=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450817</xdr:colOff>
      <xdr:row>5</xdr:row>
      <xdr:rowOff>36988</xdr:rowOff>
    </xdr:from>
    <xdr:ext cx="463583" cy="405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1384267" y="52276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de-DE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el-GR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λ</m:t>
                      </m:r>
                    </m:num>
                    <m:den>
                      <m:r>
                        <a:rPr lang="de-DE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den>
                  </m:f>
                </m:oMath>
              </a14:m>
              <a:r>
                <a:rPr lang="de-DE" sz="1400"/>
                <a:t> =</a:t>
              </a:r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1384267" y="522763"/>
              <a:ext cx="463583" cy="405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λ</a:t>
              </a:r>
              <a:r>
                <a:rPr lang="de-DE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de-DE" sz="1400"/>
                <a:t> =</a:t>
              </a:r>
            </a:p>
          </xdr:txBody>
        </xdr:sp>
      </mc:Fallback>
    </mc:AlternateContent>
    <xdr:clientData/>
  </xdr:oneCellAnchor>
  <xdr:oneCellAnchor>
    <xdr:from>
      <xdr:col>12</xdr:col>
      <xdr:colOff>617091</xdr:colOff>
      <xdr:row>6</xdr:row>
      <xdr:rowOff>28575</xdr:rowOff>
    </xdr:from>
    <xdr:ext cx="2602359" cy="4948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13971141" y="1000125"/>
              <a:ext cx="2602359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14:m>
                <m:oMath xmlns:m="http://schemas.openxmlformats.org/officeDocument/2006/math">
                  <m:f>
                    <m:fPr>
                      <m:ctrlPr>
                        <a:rPr lang="de-DE" sz="1100" i="1">
                          <a:latin typeface="Cambria Math"/>
                        </a:rPr>
                      </m:ctrlPr>
                    </m:fPr>
                    <m:num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 sz="11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−</m:t>
                      </m:r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begChr m:val="["/>
                              <m:endChr m:val="]"/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m:rPr>
                                  <m:sty m:val="p"/>
                                </m:rPr>
                                <a:rPr lang="el-GR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λ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(1−2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∙</m:t>
                              </m:r>
                              <m:r>
                                <m:rPr>
                                  <m:sty m:val="p"/>
                                </m:rPr>
                                <a:rPr lang="el-G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ξ</m:t>
                              </m:r>
                              <m: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)/2</m:t>
                              </m:r>
                            </m:e>
                          </m:d>
                        </m:e>
                      </m:func>
                      <m:r>
                        <m:rPr>
                          <m:nor/>
                        </m:rPr>
                        <a:rPr lang="de-DE">
                          <a:effectLst/>
                        </a:rPr>
                        <m:t> </m:t>
                      </m:r>
                    </m:num>
                    <m:den>
                      <m:func>
                        <m:funcPr>
                          <m:ctrlPr>
                            <a:rPr lang="de-DE" sz="110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uncPr>
                        <m:fName>
                          <m:r>
                            <m:rPr>
                              <m:sty m:val="p"/>
                            </m:rPr>
                            <a:rPr lang="de-DE" sz="1100" i="0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cosh</m:t>
                          </m:r>
                        </m:fName>
                        <m:e>
                          <m:r>
                            <a:rPr lang="de-DE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  <m:d>
                            <m:dPr>
                              <m:ctrlPr>
                                <a:rPr lang="de-DE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de-DE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m:rPr>
                                      <m:sty m:val="p"/>
                                    </m:rPr>
                                    <a:rPr lang="el-GR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λ</m:t>
                                  </m:r>
                                </m:num>
                                <m:den>
                                  <m:r>
                                    <a:rPr lang="de-DE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den>
                              </m:f>
                            </m:e>
                          </m:d>
                        </m:e>
                      </m:func>
                    </m:den>
                  </m:f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13971141" y="1000125"/>
              <a:ext cx="2602359" cy="4948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/>
                <a:t>1.)     </a:t>
              </a:r>
              <a:r>
                <a:rPr lang="de-DE" sz="1100" i="0">
                  <a:latin typeface="Cambria Math"/>
                </a:rPr>
                <a:t>(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−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 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[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(1−2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ξ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)/2]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 "</a:t>
              </a:r>
              <a:r>
                <a:rPr lang="de-DE" i="0">
                  <a:effectLst/>
                </a:rPr>
                <a:t> </a:t>
              </a:r>
              <a:r>
                <a:rPr lang="de-DE" i="0">
                  <a:effectLst/>
                  <a:latin typeface="Cambria Math"/>
                </a:rPr>
                <a:t>" </a:t>
              </a:r>
              <a:r>
                <a:rPr lang="de-DE" sz="1100" i="0">
                  <a:effectLst/>
                  <a:latin typeface="Cambria Math"/>
                </a:rPr>
                <a:t>)/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cosh⁡〖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2)〗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15</xdr:col>
      <xdr:colOff>40820</xdr:colOff>
      <xdr:row>5</xdr:row>
      <xdr:rowOff>106724</xdr:rowOff>
    </xdr:from>
    <xdr:ext cx="2161835" cy="551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15814220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/>
                      </a:rPr>
                      <m:t>2.) </m:t>
                    </m:r>
                    <m:f>
                      <m:fPr>
                        <m:ctrlPr>
                          <a:rPr lang="de-DE" sz="1100" b="0" i="1">
                            <a:latin typeface="Cambria Math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d>
                              <m:d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m:rPr>
                                        <m:sty m:val="p"/>
                                      </m:rPr>
                                      <a:rPr lang="el-GR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λ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num>
                      <m:den>
                        <m:func>
                          <m:func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/>
                              </a:rPr>
                              <m:t>sinh</m:t>
                            </m:r>
                          </m:fName>
                          <m:e>
                            <m:r>
                              <m:rPr>
                                <m:sty m:val="p"/>
                              </m:rPr>
                              <a:rPr lang="el-GR" sz="1100" b="0" i="1">
                                <a:latin typeface="Cambria Math"/>
                              </a:rPr>
                              <m:t>λ</m:t>
                            </m:r>
                          </m:e>
                        </m:func>
                      </m:den>
                    </m:f>
                    <m:r>
                      <a:rPr lang="de-DE" sz="1100" b="0" i="0">
                        <a:latin typeface="Cambria Math"/>
                      </a:rPr>
                      <m:t> </m:t>
                    </m:r>
                    <m:r>
                      <a:rPr lang="de-DE" sz="1100" b="0" i="1">
                        <a:latin typeface="Cambria Math"/>
                        <a:ea typeface="Cambria Math"/>
                      </a:rPr>
                      <m:t>∙ </m:t>
                    </m:r>
                    <m:func>
                      <m:funcPr>
                        <m:ctrlPr>
                          <a:rPr lang="de-DE" sz="1100" b="0" i="1">
                            <a:latin typeface="Cambria Math"/>
                            <a:ea typeface="Cambria Math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de-DE" sz="1100" b="0" i="0">
                            <a:latin typeface="Cambria Math"/>
                            <a:ea typeface="Cambria Math"/>
                          </a:rPr>
                          <m:t>sinh</m:t>
                        </m:r>
                      </m:fName>
                      <m:e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λ</m:t>
                        </m:r>
                        <m:r>
                          <a:rPr lang="el-GR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/>
                            <a:ea typeface="Cambria Math"/>
                          </a:rPr>
                          <m:t>ξ</m:t>
                        </m:r>
                        <m:r>
                          <a:rPr lang="de-DE" sz="11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15814220" y="916349"/>
              <a:ext cx="2161835" cy="551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2.)   sinh⁡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l-GR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λ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2)/</a:t>
              </a:r>
              <a:r>
                <a:rPr lang="de-DE" sz="1100" b="0" i="0">
                  <a:latin typeface="Cambria Math"/>
                </a:rPr>
                <a:t>sinh⁡</a:t>
              </a:r>
              <a:r>
                <a:rPr lang="el-GR" sz="1100" b="0" i="0">
                  <a:latin typeface="Cambria Math"/>
                </a:rPr>
                <a:t>λ </a:t>
              </a:r>
              <a:r>
                <a:rPr lang="de-DE" sz="1100" b="0" i="0">
                  <a:latin typeface="Cambria Math"/>
                </a:rPr>
                <a:t>  </a:t>
              </a:r>
              <a:r>
                <a:rPr lang="de-DE" sz="1100" b="0" i="0">
                  <a:latin typeface="Cambria Math"/>
                  <a:ea typeface="Cambria Math"/>
                </a:rPr>
                <a:t>∙  sinh⁡〖(</a:t>
              </a:r>
              <a:r>
                <a:rPr lang="el-GR" sz="1100" b="0" i="0">
                  <a:latin typeface="Cambria Math"/>
                  <a:ea typeface="Cambria Math"/>
                </a:rPr>
                <a:t>λ∙ξ</a:t>
              </a:r>
              <a:r>
                <a:rPr lang="de-DE" sz="1100" b="0" i="0">
                  <a:latin typeface="Cambria Math"/>
                  <a:ea typeface="Cambria Math"/>
                </a:rPr>
                <a:t>)〗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5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2.w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4.bin"/><Relationship Id="rId11" Type="http://schemas.openxmlformats.org/officeDocument/2006/relationships/image" Target="../media/image14.wmf"/><Relationship Id="rId5" Type="http://schemas.openxmlformats.org/officeDocument/2006/relationships/image" Target="../media/image11.wmf"/><Relationship Id="rId10" Type="http://schemas.openxmlformats.org/officeDocument/2006/relationships/oleObject" Target="../embeddings/oleObject26.bin"/><Relationship Id="rId4" Type="http://schemas.openxmlformats.org/officeDocument/2006/relationships/oleObject" Target="../embeddings/oleObject23.bin"/><Relationship Id="rId9" Type="http://schemas.openxmlformats.org/officeDocument/2006/relationships/image" Target="../media/image13.wmf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10.vml"/><Relationship Id="rId7" Type="http://schemas.openxmlformats.org/officeDocument/2006/relationships/image" Target="../media/image12.w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8.bin"/><Relationship Id="rId11" Type="http://schemas.openxmlformats.org/officeDocument/2006/relationships/image" Target="../media/image14.wmf"/><Relationship Id="rId5" Type="http://schemas.openxmlformats.org/officeDocument/2006/relationships/image" Target="../media/image11.wmf"/><Relationship Id="rId10" Type="http://schemas.openxmlformats.org/officeDocument/2006/relationships/oleObject" Target="../embeddings/oleObject30.bin"/><Relationship Id="rId4" Type="http://schemas.openxmlformats.org/officeDocument/2006/relationships/oleObject" Target="../embeddings/oleObject27.bin"/><Relationship Id="rId9" Type="http://schemas.openxmlformats.org/officeDocument/2006/relationships/image" Target="../media/image13.w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Relationship Id="rId9" Type="http://schemas.openxmlformats.org/officeDocument/2006/relationships/image" Target="../media/image4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3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oleObject" Target="../embeddings/oleObject10.bin"/><Relationship Id="rId7" Type="http://schemas.openxmlformats.org/officeDocument/2006/relationships/oleObject" Target="../embeddings/oleObject12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11.bin"/><Relationship Id="rId4" Type="http://schemas.openxmlformats.org/officeDocument/2006/relationships/image" Target="../media/image2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oleObject" Target="../embeddings/oleObject13.bin"/><Relationship Id="rId7" Type="http://schemas.openxmlformats.org/officeDocument/2006/relationships/oleObject" Target="../embeddings/oleObject15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14.bin"/><Relationship Id="rId4" Type="http://schemas.openxmlformats.org/officeDocument/2006/relationships/image" Target="../media/image2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oleObject" Target="../embeddings/oleObject16.bin"/><Relationship Id="rId7" Type="http://schemas.openxmlformats.org/officeDocument/2006/relationships/oleObject" Target="../embeddings/oleObject18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17.bin"/><Relationship Id="rId4" Type="http://schemas.openxmlformats.org/officeDocument/2006/relationships/image" Target="../media/image2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12.w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0.bin"/><Relationship Id="rId11" Type="http://schemas.openxmlformats.org/officeDocument/2006/relationships/image" Target="../media/image14.wmf"/><Relationship Id="rId5" Type="http://schemas.openxmlformats.org/officeDocument/2006/relationships/image" Target="../media/image11.wmf"/><Relationship Id="rId10" Type="http://schemas.openxmlformats.org/officeDocument/2006/relationships/oleObject" Target="../embeddings/oleObject22.bin"/><Relationship Id="rId4" Type="http://schemas.openxmlformats.org/officeDocument/2006/relationships/oleObject" Target="../embeddings/oleObject19.bin"/><Relationship Id="rId9" Type="http://schemas.openxmlformats.org/officeDocument/2006/relationships/image" Target="../media/image1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BO73"/>
  <sheetViews>
    <sheetView tabSelected="1" zoomScale="115" zoomScaleNormal="115" zoomScaleSheetLayoutView="100" zoomScalePageLayoutView="85" workbookViewId="0">
      <selection activeCell="D32" sqref="D32:E32"/>
    </sheetView>
  </sheetViews>
  <sheetFormatPr baseColWidth="10" defaultRowHeight="12.75"/>
  <cols>
    <col min="1" max="1" width="11.42578125" style="167"/>
    <col min="2" max="2" width="52.28515625" style="167" customWidth="1"/>
    <col min="3" max="3" width="8" style="167" customWidth="1"/>
    <col min="4" max="4" width="18.28515625" style="167" customWidth="1"/>
    <col min="5" max="5" width="18.42578125" style="167" customWidth="1"/>
    <col min="6" max="10" width="18.28515625" style="167" customWidth="1"/>
    <col min="11" max="11" width="18.28515625" style="167" hidden="1" customWidth="1"/>
    <col min="12" max="26" width="11.42578125" style="167" hidden="1" customWidth="1"/>
    <col min="27" max="31" width="11.42578125" style="167" customWidth="1"/>
    <col min="32" max="16384" width="11.42578125" style="167"/>
  </cols>
  <sheetData>
    <row r="1" spans="1:67" ht="64.5" customHeight="1">
      <c r="C1" s="169"/>
      <c r="D1" s="170"/>
      <c r="E1" s="170"/>
      <c r="H1" s="171"/>
      <c r="I1" s="171"/>
      <c r="J1" s="171"/>
      <c r="K1" s="171"/>
      <c r="L1" s="171"/>
      <c r="M1" s="171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</row>
    <row r="2" spans="1:67" s="173" customFormat="1" ht="60.75" customHeight="1">
      <c r="B2" s="317" t="str">
        <f>IF($D$22=1,N2,S2)</f>
        <v>Version 1 (Dezember 2011)</v>
      </c>
      <c r="C2" s="175"/>
      <c r="D2" s="176"/>
      <c r="E2" s="176"/>
      <c r="F2" s="491" t="s">
        <v>424</v>
      </c>
      <c r="G2" s="492"/>
      <c r="H2" s="177"/>
      <c r="I2" s="178"/>
      <c r="J2" s="178"/>
      <c r="K2" s="178"/>
      <c r="L2" s="178"/>
      <c r="M2" s="179"/>
      <c r="N2" s="180" t="s">
        <v>410</v>
      </c>
      <c r="S2" s="180" t="s">
        <v>412</v>
      </c>
    </row>
    <row r="3" spans="1:67" s="173" customFormat="1" ht="60.75" customHeight="1">
      <c r="A3" s="319"/>
      <c r="B3" s="493" t="s">
        <v>413</v>
      </c>
      <c r="C3" s="493"/>
      <c r="D3" s="493"/>
      <c r="E3" s="493"/>
      <c r="F3" s="493"/>
      <c r="G3" s="493"/>
      <c r="H3" s="177"/>
      <c r="I3" s="178"/>
      <c r="J3" s="178"/>
      <c r="K3" s="178"/>
      <c r="L3" s="178"/>
      <c r="M3" s="179"/>
      <c r="N3" s="180"/>
      <c r="S3" s="180"/>
    </row>
    <row r="4" spans="1:67" s="181" customFormat="1" ht="57" customHeight="1">
      <c r="A4" s="234"/>
      <c r="B4" s="493" t="str">
        <f>IF($D$22=1,N4,S4)</f>
        <v>Ermittlung der Schnittgrößen und Spannungen</v>
      </c>
      <c r="C4" s="493"/>
      <c r="D4" s="493"/>
      <c r="E4" s="493"/>
      <c r="F4" s="493"/>
      <c r="G4" s="493"/>
      <c r="H4" s="183"/>
      <c r="I4" s="183"/>
      <c r="J4" s="183"/>
      <c r="K4" s="183"/>
      <c r="L4" s="183"/>
      <c r="M4" s="183"/>
      <c r="N4" s="493" t="s">
        <v>262</v>
      </c>
      <c r="O4" s="493"/>
      <c r="P4" s="493"/>
      <c r="Q4" s="493"/>
      <c r="R4" s="493"/>
      <c r="S4" s="184" t="s">
        <v>315</v>
      </c>
      <c r="T4" s="184"/>
      <c r="U4" s="184"/>
    </row>
    <row r="5" spans="1:67" s="181" customFormat="1" ht="30" customHeight="1">
      <c r="A5" s="234"/>
      <c r="B5" s="494" t="str">
        <f>IF($D$22=1,N5,S5)</f>
        <v>von Sandwichbauteilen</v>
      </c>
      <c r="C5" s="494"/>
      <c r="D5" s="494"/>
      <c r="E5" s="494"/>
      <c r="F5" s="494"/>
      <c r="G5" s="494"/>
      <c r="H5" s="183"/>
      <c r="I5" s="183"/>
      <c r="J5" s="183"/>
      <c r="K5" s="183"/>
      <c r="L5" s="183"/>
      <c r="M5" s="183"/>
      <c r="N5" s="494" t="s">
        <v>261</v>
      </c>
      <c r="O5" s="494"/>
      <c r="P5" s="494"/>
      <c r="Q5" s="494"/>
      <c r="R5" s="494"/>
      <c r="S5" s="186" t="s">
        <v>316</v>
      </c>
      <c r="T5" s="186"/>
      <c r="U5" s="186"/>
    </row>
    <row r="6" spans="1:67" s="181" customFormat="1" ht="30" customHeight="1">
      <c r="A6" s="234"/>
      <c r="B6" s="495"/>
      <c r="C6" s="495"/>
      <c r="D6" s="495"/>
      <c r="E6" s="495"/>
      <c r="F6" s="495"/>
      <c r="G6" s="495"/>
      <c r="H6" s="183"/>
      <c r="I6" s="183"/>
      <c r="J6" s="183"/>
      <c r="K6" s="183"/>
      <c r="L6" s="183"/>
      <c r="M6" s="183"/>
      <c r="N6" s="320"/>
      <c r="O6" s="189"/>
      <c r="P6" s="189"/>
      <c r="Q6" s="189"/>
      <c r="R6" s="189"/>
      <c r="S6" s="186"/>
      <c r="T6" s="186"/>
      <c r="U6" s="186"/>
    </row>
    <row r="7" spans="1:67" s="173" customFormat="1" ht="37.5" customHeight="1">
      <c r="B7" s="180"/>
      <c r="C7" s="175"/>
      <c r="D7" s="176"/>
      <c r="E7" s="176"/>
      <c r="F7" s="178"/>
      <c r="G7" s="178"/>
      <c r="H7" s="180"/>
      <c r="I7" s="180"/>
      <c r="J7" s="180"/>
      <c r="K7" s="180"/>
      <c r="L7" s="180"/>
      <c r="M7" s="179"/>
      <c r="N7" s="180"/>
      <c r="S7" s="180"/>
    </row>
    <row r="8" spans="1:67" s="173" customFormat="1" ht="12.75" customHeight="1">
      <c r="B8" s="498" t="s">
        <v>3</v>
      </c>
      <c r="C8" s="175"/>
      <c r="D8" s="496"/>
      <c r="E8" s="176"/>
      <c r="F8" s="178"/>
      <c r="G8" s="178"/>
      <c r="H8" s="180"/>
      <c r="I8" s="180"/>
      <c r="J8" s="180"/>
      <c r="K8" s="180"/>
      <c r="L8" s="180"/>
      <c r="M8" s="179"/>
      <c r="N8" s="180"/>
      <c r="P8" s="314" t="s">
        <v>115</v>
      </c>
      <c r="S8" s="180"/>
    </row>
    <row r="9" spans="1:67" s="173" customFormat="1" ht="12.75" customHeight="1">
      <c r="B9" s="499"/>
      <c r="C9" s="175"/>
      <c r="D9" s="497"/>
      <c r="E9" s="176"/>
      <c r="F9" s="178"/>
      <c r="G9" s="178"/>
      <c r="H9" s="180"/>
      <c r="I9" s="180"/>
      <c r="J9" s="180"/>
      <c r="K9" s="180"/>
      <c r="L9" s="180"/>
      <c r="M9" s="179"/>
      <c r="N9" s="180"/>
      <c r="P9" s="321" t="s">
        <v>116</v>
      </c>
      <c r="S9" s="180"/>
    </row>
    <row r="10" spans="1:67" s="173" customFormat="1" ht="12.95" customHeight="1">
      <c r="C10" s="322"/>
      <c r="D10" s="176"/>
      <c r="E10" s="176"/>
      <c r="F10" s="178"/>
      <c r="G10" s="178"/>
      <c r="H10" s="179"/>
      <c r="I10" s="179"/>
      <c r="J10" s="179"/>
      <c r="K10" s="179"/>
      <c r="L10" s="179"/>
      <c r="M10" s="179"/>
    </row>
    <row r="11" spans="1:67" s="173" customFormat="1" ht="15" customHeight="1">
      <c r="B11" s="323" t="str">
        <f>IF($D$22=1,N11,S11)</f>
        <v>Voraussetzungen</v>
      </c>
      <c r="C11" s="324"/>
      <c r="D11" s="313" t="str">
        <f t="shared" ref="D11" si="0">IF($D$22=1,P11,U11)</f>
        <v>- äußere Deckschicht profilierte oder ebene bzw. quasi-ebene</v>
      </c>
      <c r="E11" s="176"/>
      <c r="H11" s="179"/>
      <c r="I11" s="179"/>
      <c r="J11" s="179"/>
      <c r="K11" s="179"/>
      <c r="L11" s="179"/>
      <c r="M11" s="179"/>
      <c r="N11" s="325" t="s">
        <v>177</v>
      </c>
      <c r="O11" s="325"/>
      <c r="P11" s="326" t="str">
        <f>"- äußere Deckschicht profilierte oder ebene bzw. quasi-ebene"</f>
        <v>- äußere Deckschicht profilierte oder ebene bzw. quasi-ebene</v>
      </c>
      <c r="Q11" s="325"/>
      <c r="R11" s="325"/>
      <c r="S11" s="325" t="s">
        <v>2</v>
      </c>
      <c r="U11" s="173" t="str">
        <f>"- external face profiled, flat or lightly profiled"</f>
        <v>- external face profiled, flat or lightly profiled</v>
      </c>
    </row>
    <row r="12" spans="1:67" s="173" customFormat="1" ht="15" customHeight="1">
      <c r="C12" s="322"/>
      <c r="D12" s="313" t="str">
        <f>IF($D$22=1,P16,U16)</f>
        <v>- innere Deckschicht ebene bzw. quasi-ebene</v>
      </c>
      <c r="E12" s="176"/>
      <c r="H12" s="179"/>
      <c r="I12" s="179"/>
      <c r="J12" s="179"/>
      <c r="K12" s="179"/>
      <c r="L12" s="179"/>
      <c r="M12" s="179"/>
      <c r="P12" s="326" t="str">
        <f>"- statisches System: Einfeld oder Zweifeld mit gleichen Stützweiten"</f>
        <v>- statisches System: Einfeld oder Zweifeld mit gleichen Stützweiten</v>
      </c>
      <c r="U12" s="173" t="str">
        <f>"- single span panels or two spans panels with equal spanlength"</f>
        <v>- single span panels or two spans panels with equal spanlength</v>
      </c>
    </row>
    <row r="13" spans="1:67" s="173" customFormat="1" ht="15" customHeight="1">
      <c r="C13" s="322"/>
      <c r="D13" s="313" t="str">
        <f>IF($D$22=1,P12,U12)</f>
        <v>- statisches System: Einfeld oder Zweifeld mit gleichen Stützweiten</v>
      </c>
      <c r="E13" s="176"/>
      <c r="H13" s="179"/>
      <c r="I13" s="179"/>
      <c r="J13" s="179"/>
      <c r="K13" s="179"/>
      <c r="L13" s="179"/>
      <c r="M13" s="179"/>
      <c r="P13" s="326" t="str">
        <f>"- Bezeichnungen nach DIN EN 14509"</f>
        <v>- Bezeichnungen nach DIN EN 14509</v>
      </c>
      <c r="U13" s="173" t="str">
        <f>"- symbols and abbrevations according to EN 14509"</f>
        <v>- symbols and abbrevations according to EN 14509</v>
      </c>
    </row>
    <row r="14" spans="1:67" s="173" customFormat="1" ht="15" customHeight="1">
      <c r="C14" s="322"/>
      <c r="D14" s="313" t="str">
        <f>IF($D$22=1,P13,U13)</f>
        <v>- Bezeichnungen nach DIN EN 14509</v>
      </c>
      <c r="E14" s="176"/>
      <c r="H14" s="179"/>
      <c r="I14" s="179"/>
      <c r="J14" s="179"/>
      <c r="K14" s="179"/>
      <c r="L14" s="179"/>
      <c r="M14" s="179"/>
      <c r="P14" s="326" t="str">
        <f>"- Berechnungsbreite B = 1 m = 1000 mm"</f>
        <v>- Berechnungsbreite B = 1 m = 1000 mm</v>
      </c>
      <c r="U14" s="173" t="str">
        <f>"- panel width for calculation B = 1 m = 1000 mm"</f>
        <v>- panel width for calculation B = 1 m = 1000 mm</v>
      </c>
    </row>
    <row r="15" spans="1:67" s="173" customFormat="1" ht="15" customHeight="1">
      <c r="C15" s="322"/>
      <c r="D15" s="313" t="str">
        <f>IF($D$22=1,P14,U14)</f>
        <v>- Berechnungsbreite B = 1 m = 1000 mm</v>
      </c>
      <c r="E15" s="176"/>
      <c r="H15" s="179"/>
      <c r="I15" s="179"/>
      <c r="J15" s="179"/>
      <c r="K15" s="179"/>
      <c r="L15" s="179"/>
      <c r="M15" s="179"/>
      <c r="P15" s="326" t="str">
        <f>"- Nutzung: Dacheindeckung oder Wandverkleidung"</f>
        <v>- Nutzung: Dacheindeckung oder Wandverkleidung</v>
      </c>
      <c r="U15" s="173" t="str">
        <f>"- applications: roof and wall cladding"</f>
        <v>- applications: roof and wall cladding</v>
      </c>
    </row>
    <row r="16" spans="1:67" s="173" customFormat="1" ht="12.95" customHeight="1">
      <c r="C16" s="322"/>
      <c r="D16" s="313" t="str">
        <f>IF($D$22=1,P15,U15)</f>
        <v>- Nutzung: Dacheindeckung oder Wandverkleidung</v>
      </c>
      <c r="E16" s="327"/>
      <c r="F16" s="313"/>
      <c r="H16" s="179"/>
      <c r="I16" s="179"/>
      <c r="J16" s="179"/>
      <c r="K16" s="179"/>
      <c r="L16" s="179"/>
      <c r="M16" s="179"/>
      <c r="P16" s="173" t="str">
        <f>"- innere Deckschicht ebene bzw. quasi-ebene"</f>
        <v>- innere Deckschicht ebene bzw. quasi-ebene</v>
      </c>
      <c r="U16" s="173" t="str">
        <f>"- internal face flat or lightly profiled"</f>
        <v>- internal face flat or lightly profiled</v>
      </c>
    </row>
    <row r="17" spans="2:19" s="173" customFormat="1" ht="12.95" customHeight="1">
      <c r="C17" s="322"/>
      <c r="D17" s="313"/>
      <c r="E17" s="327"/>
      <c r="F17" s="313"/>
      <c r="H17" s="179"/>
      <c r="I17" s="179"/>
      <c r="J17" s="179"/>
      <c r="K17" s="179"/>
      <c r="L17" s="179"/>
      <c r="M17" s="179"/>
    </row>
    <row r="18" spans="2:19" s="173" customFormat="1" ht="12.95" customHeight="1">
      <c r="C18" s="322"/>
      <c r="D18" s="313"/>
      <c r="E18" s="327"/>
      <c r="F18" s="313"/>
      <c r="H18" s="179"/>
      <c r="I18" s="179"/>
      <c r="J18" s="179"/>
      <c r="K18" s="179"/>
      <c r="L18" s="179"/>
      <c r="M18" s="179"/>
    </row>
    <row r="19" spans="2:19" s="173" customFormat="1" ht="12.95" customHeight="1">
      <c r="C19" s="322"/>
      <c r="D19" s="313"/>
      <c r="E19" s="327"/>
      <c r="F19" s="313"/>
      <c r="H19" s="179"/>
      <c r="I19" s="179"/>
      <c r="J19" s="179"/>
      <c r="K19" s="179"/>
      <c r="L19" s="179"/>
      <c r="M19" s="179"/>
    </row>
    <row r="20" spans="2:19" s="173" customFormat="1" ht="12.95" customHeight="1">
      <c r="C20" s="322"/>
      <c r="D20" s="313"/>
      <c r="E20" s="327"/>
      <c r="F20" s="313"/>
      <c r="H20" s="179"/>
      <c r="I20" s="179"/>
      <c r="J20" s="179"/>
      <c r="K20" s="179"/>
      <c r="L20" s="179"/>
      <c r="M20" s="179"/>
    </row>
    <row r="21" spans="2:19" s="173" customFormat="1" ht="16.5" customHeight="1">
      <c r="B21" s="181" t="str">
        <f>IF($D$22=1,N29,S29)</f>
        <v>Abschnitt A: Eingabewerte</v>
      </c>
      <c r="C21" s="322"/>
      <c r="D21" s="321"/>
      <c r="E21" s="176"/>
      <c r="F21" s="328"/>
      <c r="G21" s="328"/>
      <c r="H21" s="179"/>
      <c r="I21" s="179"/>
      <c r="J21" s="179"/>
      <c r="K21" s="179"/>
      <c r="L21" s="179"/>
      <c r="M21" s="179"/>
    </row>
    <row r="22" spans="2:19" s="173" customFormat="1" ht="15" hidden="1" customHeight="1">
      <c r="B22" s="329" t="s">
        <v>3</v>
      </c>
      <c r="C22" s="330"/>
      <c r="D22" s="407">
        <v>1</v>
      </c>
      <c r="E22" s="326"/>
      <c r="F22" s="321"/>
      <c r="G22" s="321"/>
      <c r="H22" s="179"/>
      <c r="I22" s="179"/>
      <c r="J22" s="179"/>
      <c r="K22" s="179"/>
      <c r="L22" s="179"/>
      <c r="M22" s="321" t="s">
        <v>115</v>
      </c>
    </row>
    <row r="23" spans="2:19" s="173" customFormat="1" ht="15" customHeight="1">
      <c r="B23" s="329"/>
      <c r="C23" s="330"/>
      <c r="D23" s="331"/>
      <c r="E23" s="326"/>
      <c r="F23" s="321"/>
      <c r="G23" s="321"/>
      <c r="H23" s="179"/>
      <c r="I23" s="179"/>
      <c r="J23" s="179"/>
      <c r="K23" s="179"/>
      <c r="L23" s="179"/>
      <c r="M23" s="321"/>
      <c r="P23" s="332" t="s">
        <v>396</v>
      </c>
      <c r="Q23" s="332" t="s">
        <v>397</v>
      </c>
      <c r="R23" s="333" t="s">
        <v>400</v>
      </c>
      <c r="S23" s="332" t="s">
        <v>401</v>
      </c>
    </row>
    <row r="24" spans="2:19" s="173" customFormat="1" ht="45.75" customHeight="1">
      <c r="B24" s="334" t="str">
        <f>IF($D$22=1,N30,S30)</f>
        <v>Bauteiltyp</v>
      </c>
      <c r="C24" s="330"/>
      <c r="D24" s="331"/>
      <c r="E24" s="326"/>
      <c r="F24" s="321"/>
      <c r="G24" s="321"/>
      <c r="H24" s="179"/>
      <c r="I24" s="179"/>
      <c r="J24" s="179"/>
      <c r="K24" s="179"/>
      <c r="L24" s="179"/>
      <c r="M24" s="321"/>
      <c r="P24" s="332" t="s">
        <v>398</v>
      </c>
      <c r="Q24" s="319"/>
      <c r="R24" s="398">
        <v>1</v>
      </c>
      <c r="S24" s="335" t="s">
        <v>405</v>
      </c>
    </row>
    <row r="25" spans="2:19" s="173" customFormat="1" ht="15" customHeight="1">
      <c r="B25" s="329"/>
      <c r="C25" s="330"/>
      <c r="D25" s="331"/>
      <c r="E25" s="326"/>
      <c r="F25" s="321"/>
      <c r="G25" s="321"/>
      <c r="H25" s="179"/>
      <c r="I25" s="179"/>
      <c r="J25" s="179"/>
      <c r="K25" s="179"/>
      <c r="L25" s="179"/>
      <c r="M25" s="321"/>
      <c r="P25" s="332" t="s">
        <v>399</v>
      </c>
      <c r="Q25" s="332"/>
      <c r="R25" s="336"/>
    </row>
    <row r="26" spans="2:19" s="173" customFormat="1" ht="12.75" customHeight="1">
      <c r="B26" s="173" t="str">
        <f>IF($D$22=1,R23,S23)</f>
        <v>Bauteil</v>
      </c>
      <c r="C26" s="337"/>
      <c r="E26" s="326"/>
      <c r="F26" s="321"/>
      <c r="G26" s="321"/>
      <c r="H26" s="179"/>
      <c r="I26" s="179"/>
      <c r="J26" s="179"/>
      <c r="K26" s="179"/>
      <c r="L26" s="179"/>
      <c r="M26" s="321"/>
      <c r="P26" s="332" t="s">
        <v>403</v>
      </c>
      <c r="Q26" s="338"/>
      <c r="R26" s="398">
        <v>1</v>
      </c>
      <c r="S26" s="335" t="s">
        <v>406</v>
      </c>
    </row>
    <row r="27" spans="2:19" s="173" customFormat="1" ht="15">
      <c r="C27" s="322"/>
      <c r="D27" s="331"/>
      <c r="E27" s="326"/>
      <c r="F27" s="321"/>
      <c r="G27" s="321"/>
      <c r="H27" s="179"/>
      <c r="I27" s="179"/>
      <c r="J27" s="179"/>
      <c r="K27" s="179"/>
      <c r="L27" s="179"/>
      <c r="P27" s="332" t="s">
        <v>402</v>
      </c>
      <c r="R27" s="339"/>
    </row>
    <row r="28" spans="2:19" s="173" customFormat="1">
      <c r="C28" s="322"/>
      <c r="D28" s="331"/>
      <c r="E28" s="326"/>
      <c r="F28" s="321"/>
      <c r="G28" s="321"/>
      <c r="H28" s="179"/>
      <c r="I28" s="179"/>
      <c r="J28" s="179"/>
      <c r="K28" s="179"/>
      <c r="L28" s="179"/>
    </row>
    <row r="29" spans="2:19" s="173" customFormat="1">
      <c r="B29" s="173" t="str">
        <f>IF($D$22=1,P23,Q23)</f>
        <v>Deckblech</v>
      </c>
      <c r="C29" s="337"/>
      <c r="E29" s="326"/>
      <c r="F29" s="340"/>
      <c r="G29" s="340"/>
      <c r="M29" s="340"/>
      <c r="N29" s="173" t="s">
        <v>260</v>
      </c>
      <c r="S29" s="173" t="s">
        <v>325</v>
      </c>
    </row>
    <row r="30" spans="2:19" s="173" customFormat="1">
      <c r="C30" s="330"/>
      <c r="D30" s="176"/>
      <c r="E30" s="326"/>
      <c r="F30" s="321"/>
      <c r="G30" s="321"/>
      <c r="H30" s="179"/>
      <c r="I30" s="179"/>
      <c r="J30" s="179"/>
      <c r="K30" s="179"/>
      <c r="L30" s="179"/>
      <c r="M30" s="179"/>
      <c r="N30" s="173" t="s">
        <v>395</v>
      </c>
      <c r="S30" s="173" t="s">
        <v>404</v>
      </c>
    </row>
    <row r="31" spans="2:19" s="262" customFormat="1" ht="118.5" customHeight="1">
      <c r="B31" s="323" t="str">
        <f t="shared" ref="B31:B37" si="1">IF($D$22=1,N31,S31)</f>
        <v>Querschnitts- und Materialkennwerte</v>
      </c>
      <c r="C31" s="341"/>
      <c r="D31" s="477"/>
      <c r="E31" s="477"/>
      <c r="H31" s="343"/>
      <c r="I31" s="343"/>
      <c r="J31" s="343"/>
      <c r="K31" s="343"/>
      <c r="L31" s="343"/>
      <c r="M31" s="343"/>
      <c r="N31" s="344" t="s">
        <v>94</v>
      </c>
      <c r="S31" s="344" t="s">
        <v>7</v>
      </c>
    </row>
    <row r="32" spans="2:19" s="332" customFormat="1" ht="18.75" customHeight="1">
      <c r="B32" s="253" t="str">
        <f t="shared" si="1"/>
        <v>Bauteilbezeichnung</v>
      </c>
      <c r="C32" s="375"/>
      <c r="D32" s="490" t="s">
        <v>423</v>
      </c>
      <c r="E32" s="490"/>
      <c r="F32" s="476"/>
      <c r="H32" s="246"/>
      <c r="I32" s="246"/>
      <c r="J32" s="246"/>
      <c r="K32" s="246"/>
      <c r="L32" s="246"/>
      <c r="M32" s="246"/>
      <c r="N32" s="253" t="s">
        <v>9</v>
      </c>
      <c r="O32" s="253"/>
      <c r="P32" s="253"/>
      <c r="Q32" s="253"/>
      <c r="R32" s="253"/>
      <c r="S32" s="253" t="s">
        <v>4</v>
      </c>
    </row>
    <row r="33" spans="1:21" s="253" customFormat="1" ht="18.75" customHeight="1">
      <c r="B33" s="253" t="str">
        <f t="shared" si="1"/>
        <v>Gesamtdicke</v>
      </c>
      <c r="C33" s="375" t="s">
        <v>8</v>
      </c>
      <c r="D33" s="481">
        <v>80</v>
      </c>
      <c r="E33" s="478" t="s">
        <v>87</v>
      </c>
      <c r="H33" s="346"/>
      <c r="I33" s="346"/>
      <c r="J33" s="346"/>
      <c r="K33" s="346"/>
      <c r="L33" s="346"/>
      <c r="M33" s="346"/>
      <c r="N33" s="253" t="s">
        <v>10</v>
      </c>
      <c r="S33" s="253" t="s">
        <v>11</v>
      </c>
    </row>
    <row r="34" spans="1:21" s="253" customFormat="1" ht="18.75" customHeight="1">
      <c r="B34" s="253" t="str">
        <f t="shared" si="1"/>
        <v>Nennblechdicke außen</v>
      </c>
      <c r="C34" s="375" t="s">
        <v>295</v>
      </c>
      <c r="D34" s="482">
        <v>0.6</v>
      </c>
      <c r="E34" s="389" t="s">
        <v>87</v>
      </c>
      <c r="H34" s="346"/>
      <c r="I34" s="346"/>
      <c r="J34" s="346"/>
      <c r="K34" s="346"/>
      <c r="L34" s="346"/>
      <c r="M34" s="346"/>
      <c r="N34" s="253" t="s">
        <v>12</v>
      </c>
      <c r="S34" s="253" t="s">
        <v>13</v>
      </c>
    </row>
    <row r="35" spans="1:21" s="253" customFormat="1" ht="18.75" customHeight="1">
      <c r="B35" s="253" t="str">
        <f t="shared" si="1"/>
        <v>Nennblechdicke innen</v>
      </c>
      <c r="C35" s="375" t="s">
        <v>296</v>
      </c>
      <c r="D35" s="482">
        <v>0.5</v>
      </c>
      <c r="E35" s="389" t="s">
        <v>87</v>
      </c>
      <c r="H35" s="346"/>
      <c r="I35" s="346"/>
      <c r="J35" s="346"/>
      <c r="K35" s="346"/>
      <c r="L35" s="346"/>
      <c r="M35" s="346"/>
      <c r="N35" s="253" t="s">
        <v>27</v>
      </c>
      <c r="S35" s="253" t="s">
        <v>14</v>
      </c>
    </row>
    <row r="36" spans="1:21" s="253" customFormat="1" ht="18.75" customHeight="1">
      <c r="B36" s="253" t="str">
        <f t="shared" si="1"/>
        <v>Dicke der Zinkschicht</v>
      </c>
      <c r="C36" s="375" t="s">
        <v>414</v>
      </c>
      <c r="D36" s="482">
        <v>0.04</v>
      </c>
      <c r="E36" s="389" t="s">
        <v>87</v>
      </c>
      <c r="H36" s="346"/>
      <c r="I36" s="346"/>
      <c r="J36" s="346"/>
      <c r="K36" s="346"/>
      <c r="L36" s="346"/>
      <c r="M36" s="346"/>
      <c r="N36" s="253" t="s">
        <v>95</v>
      </c>
      <c r="S36" s="253" t="s">
        <v>5</v>
      </c>
    </row>
    <row r="37" spans="1:21" s="374" customFormat="1" ht="18.75" customHeight="1">
      <c r="B37" s="374" t="str">
        <f t="shared" si="1"/>
        <v>Toleranz nach DIN EN 10143</v>
      </c>
      <c r="C37" s="363" t="s">
        <v>415</v>
      </c>
      <c r="D37" s="482">
        <v>0.04</v>
      </c>
      <c r="E37" s="479" t="s">
        <v>87</v>
      </c>
      <c r="F37" s="410" t="str">
        <f>IF($D$22=1,N38,S38)</f>
        <v>für normale Grenzabmasse (Toleranzen)</v>
      </c>
      <c r="H37" s="373"/>
      <c r="I37" s="373"/>
      <c r="J37" s="373"/>
      <c r="K37" s="373"/>
      <c r="L37" s="373"/>
      <c r="M37" s="373"/>
      <c r="N37" s="374" t="s">
        <v>416</v>
      </c>
      <c r="S37" s="374" t="s">
        <v>417</v>
      </c>
    </row>
    <row r="38" spans="1:21" s="253" customFormat="1" ht="14.25">
      <c r="B38" s="314" t="str">
        <f>IF($D$22=1,P38,U38)</f>
        <v>Bei eingeschränkten Grenzabmassen (Toleranzen) kann für die Tolleranz 0,00 mm eingesetzt werden (nach EN 14509 rev.1).</v>
      </c>
      <c r="D38" s="480"/>
      <c r="E38" s="347"/>
      <c r="H38" s="346"/>
      <c r="I38" s="346"/>
      <c r="J38" s="346"/>
      <c r="K38" s="346"/>
      <c r="L38" s="346"/>
      <c r="M38" s="346"/>
      <c r="N38" s="253" t="s">
        <v>419</v>
      </c>
      <c r="P38" s="253" t="s">
        <v>420</v>
      </c>
      <c r="S38" s="253" t="s">
        <v>421</v>
      </c>
      <c r="U38" s="253" t="s">
        <v>422</v>
      </c>
    </row>
    <row r="39" spans="1:21" s="253" customFormat="1" ht="14.25">
      <c r="C39" s="345"/>
      <c r="D39" s="347"/>
      <c r="E39" s="347"/>
      <c r="H39" s="346"/>
      <c r="I39" s="346"/>
      <c r="J39" s="346"/>
      <c r="K39" s="346"/>
      <c r="L39" s="346"/>
      <c r="M39" s="346"/>
    </row>
    <row r="40" spans="1:21" s="264" customFormat="1" ht="18" customHeight="1">
      <c r="A40" s="411"/>
      <c r="B40" s="412" t="str">
        <f t="shared" ref="B40:B41" si="2">IF($D$22=1,N40,S40)</f>
        <v>Deckschichten</v>
      </c>
      <c r="C40" s="413"/>
      <c r="D40" s="414" t="str">
        <f>IF($D$22=1,O40,T40)</f>
        <v>außen (Index 1)</v>
      </c>
      <c r="E40" s="409" t="str">
        <f>IF($D$22=1,P40,U40)</f>
        <v>innen (Index 2)</v>
      </c>
      <c r="H40" s="415"/>
      <c r="I40" s="415"/>
      <c r="J40" s="415"/>
      <c r="K40" s="415"/>
      <c r="L40" s="415"/>
      <c r="M40" s="415"/>
      <c r="N40" s="264" t="s">
        <v>240</v>
      </c>
      <c r="O40" s="416" t="s">
        <v>305</v>
      </c>
      <c r="P40" s="416" t="s">
        <v>306</v>
      </c>
      <c r="S40" s="264" t="s">
        <v>242</v>
      </c>
      <c r="T40" s="416" t="s">
        <v>307</v>
      </c>
      <c r="U40" s="416" t="s">
        <v>308</v>
      </c>
    </row>
    <row r="41" spans="1:21" s="253" customFormat="1" ht="18.75" customHeight="1">
      <c r="B41" s="348" t="str">
        <f t="shared" si="2"/>
        <v>Kernblechdicke</v>
      </c>
      <c r="C41" s="345"/>
      <c r="D41" s="349">
        <f>D34-D36-0.5*D37</f>
        <v>0.53999999999999992</v>
      </c>
      <c r="E41" s="350">
        <f>D35-D36-0.5*D37</f>
        <v>0.44</v>
      </c>
      <c r="F41" s="253" t="s">
        <v>418</v>
      </c>
      <c r="H41" s="346"/>
      <c r="I41" s="346"/>
      <c r="J41" s="346"/>
      <c r="K41" s="346"/>
      <c r="L41" s="346"/>
      <c r="M41" s="346"/>
      <c r="N41" s="253" t="s">
        <v>88</v>
      </c>
      <c r="S41" s="253" t="s">
        <v>6</v>
      </c>
    </row>
    <row r="42" spans="1:21" s="253" customFormat="1" ht="18.75" customHeight="1">
      <c r="B42" s="253" t="str">
        <f t="shared" ref="B42:B48" si="3">IF($D$22=1,N42,S42)</f>
        <v>Fläche der Deckschicht</v>
      </c>
      <c r="C42" s="351" t="s">
        <v>297</v>
      </c>
      <c r="D42" s="399">
        <v>5.41</v>
      </c>
      <c r="E42" s="402">
        <v>4.41</v>
      </c>
      <c r="F42" s="253" t="s">
        <v>298</v>
      </c>
      <c r="H42" s="346"/>
      <c r="I42" s="346"/>
      <c r="J42" s="346"/>
      <c r="K42" s="346"/>
      <c r="L42" s="345" t="s">
        <v>330</v>
      </c>
      <c r="M42" s="352">
        <f>D41^3*1000/(12*100)</f>
        <v>0.13121999999999995</v>
      </c>
      <c r="N42" s="253" t="s">
        <v>15</v>
      </c>
      <c r="S42" s="253" t="s">
        <v>16</v>
      </c>
    </row>
    <row r="43" spans="1:21" s="253" customFormat="1" ht="18.75" customHeight="1">
      <c r="B43" s="253" t="str">
        <f t="shared" si="3"/>
        <v>Trägheitsmoment der Deckschichten</v>
      </c>
      <c r="C43" s="353" t="s">
        <v>299</v>
      </c>
      <c r="D43" s="400">
        <v>0</v>
      </c>
      <c r="E43" s="354">
        <v>0</v>
      </c>
      <c r="F43" s="355" t="s">
        <v>300</v>
      </c>
      <c r="G43" s="356" t="str">
        <f>IF(E43&lt;&gt;0,"Voraussetzung I(F2) = 0 (eben oder quasi-eben!); Condition I(F2) = 0 (flat or lightly profiled)","")</f>
        <v/>
      </c>
      <c r="L43" s="357" t="s">
        <v>299</v>
      </c>
      <c r="M43" s="358">
        <f>IF(OR(D43=0,D43&lt;M42),M42,D43)</f>
        <v>0.13121999999999995</v>
      </c>
      <c r="N43" s="355" t="s">
        <v>18</v>
      </c>
      <c r="S43" s="253" t="s">
        <v>17</v>
      </c>
    </row>
    <row r="44" spans="1:21" s="253" customFormat="1" ht="18.75" customHeight="1">
      <c r="B44" s="253" t="str">
        <f t="shared" si="3"/>
        <v>oberer Randabstand</v>
      </c>
      <c r="C44" s="351" t="s">
        <v>301</v>
      </c>
      <c r="D44" s="401">
        <v>0.2</v>
      </c>
      <c r="E44" s="402">
        <v>0.15</v>
      </c>
      <c r="F44" s="253" t="s">
        <v>87</v>
      </c>
      <c r="H44" s="346"/>
      <c r="I44" s="346"/>
      <c r="J44" s="346"/>
      <c r="K44" s="346"/>
      <c r="L44" s="346"/>
      <c r="M44" s="359">
        <f>IF(OR(D43=0,D43&lt;M42),M42,D43)</f>
        <v>0.13121999999999995</v>
      </c>
      <c r="N44" s="253" t="s">
        <v>19</v>
      </c>
      <c r="S44" s="253" t="s">
        <v>317</v>
      </c>
    </row>
    <row r="45" spans="1:21" s="253" customFormat="1" ht="18.75" customHeight="1">
      <c r="B45" s="253" t="str">
        <f t="shared" si="3"/>
        <v>unterer Randabstand</v>
      </c>
      <c r="C45" s="351" t="s">
        <v>302</v>
      </c>
      <c r="D45" s="402">
        <v>0.2</v>
      </c>
      <c r="E45" s="402">
        <v>0.15</v>
      </c>
      <c r="F45" s="253" t="s">
        <v>87</v>
      </c>
      <c r="H45" s="346"/>
      <c r="I45" s="346"/>
      <c r="J45" s="346"/>
      <c r="K45" s="346"/>
      <c r="L45" s="346"/>
      <c r="M45" s="346"/>
      <c r="N45" s="253" t="s">
        <v>20</v>
      </c>
      <c r="S45" s="253" t="s">
        <v>318</v>
      </c>
    </row>
    <row r="46" spans="1:21" s="253" customFormat="1" ht="18.75" customHeight="1">
      <c r="D46" s="360"/>
      <c r="E46" s="360"/>
    </row>
    <row r="47" spans="1:21" s="253" customFormat="1" ht="18.75" customHeight="1">
      <c r="B47" s="253" t="str">
        <f t="shared" si="3"/>
        <v>E-Modul</v>
      </c>
      <c r="C47" s="351" t="s">
        <v>303</v>
      </c>
      <c r="D47" s="403">
        <v>210000</v>
      </c>
      <c r="E47" s="403">
        <v>210000</v>
      </c>
      <c r="F47" s="253" t="s">
        <v>90</v>
      </c>
      <c r="H47" s="346"/>
      <c r="I47" s="346"/>
      <c r="J47" s="346"/>
      <c r="L47" s="346"/>
      <c r="M47" s="346"/>
      <c r="N47" s="253" t="s">
        <v>89</v>
      </c>
      <c r="S47" s="253" t="s">
        <v>89</v>
      </c>
    </row>
    <row r="48" spans="1:21" s="253" customFormat="1" ht="18.75" customHeight="1">
      <c r="B48" s="253" t="str">
        <f t="shared" si="3"/>
        <v>Wärmeausdehnungskoeffizient</v>
      </c>
      <c r="C48" s="361" t="s">
        <v>304</v>
      </c>
      <c r="D48" s="403">
        <v>1.2E-5</v>
      </c>
      <c r="E48" s="403">
        <v>1.2E-5</v>
      </c>
      <c r="F48" s="253" t="s">
        <v>91</v>
      </c>
      <c r="H48" s="346"/>
      <c r="I48" s="346"/>
      <c r="J48" s="346"/>
      <c r="K48" s="346"/>
      <c r="L48" s="346"/>
      <c r="M48" s="346"/>
      <c r="N48" s="253" t="s">
        <v>22</v>
      </c>
      <c r="S48" s="253" t="s">
        <v>21</v>
      </c>
    </row>
    <row r="49" spans="1:67">
      <c r="C49" s="364"/>
      <c r="D49" s="365"/>
      <c r="E49" s="366"/>
      <c r="H49" s="171"/>
      <c r="I49" s="171"/>
      <c r="J49" s="171"/>
      <c r="K49" s="171"/>
      <c r="L49" s="171"/>
      <c r="M49" s="171"/>
      <c r="N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</row>
    <row r="50" spans="1:67" s="262" customFormat="1" ht="18">
      <c r="A50" s="264"/>
      <c r="B50" s="367" t="str">
        <f>IF($D$22=1,N50,S50)</f>
        <v>Kern</v>
      </c>
      <c r="C50" s="368"/>
      <c r="D50" s="369"/>
      <c r="E50" s="370"/>
      <c r="H50" s="343"/>
      <c r="I50" s="343"/>
      <c r="J50" s="343"/>
      <c r="K50" s="343"/>
      <c r="L50" s="343"/>
      <c r="M50" s="343"/>
      <c r="N50" s="262" t="s">
        <v>239</v>
      </c>
      <c r="S50" s="262" t="s">
        <v>241</v>
      </c>
    </row>
    <row r="51" spans="1:67" s="253" customFormat="1" ht="18.75" customHeight="1">
      <c r="A51" s="348"/>
      <c r="B51" s="371" t="str">
        <f>IF($D$22=1,N51,S51)</f>
        <v>Schubmodul</v>
      </c>
      <c r="C51" s="372" t="s">
        <v>309</v>
      </c>
      <c r="D51" s="404">
        <v>8</v>
      </c>
      <c r="E51" s="362" t="s">
        <v>90</v>
      </c>
      <c r="H51" s="346"/>
      <c r="I51" s="346"/>
      <c r="J51" s="346"/>
      <c r="K51" s="346"/>
      <c r="L51" s="346"/>
      <c r="M51" s="346"/>
      <c r="N51" s="253" t="s">
        <v>23</v>
      </c>
      <c r="S51" s="253" t="s">
        <v>24</v>
      </c>
    </row>
    <row r="52" spans="1:67" s="253" customFormat="1" ht="18.75" customHeight="1">
      <c r="B52" s="253" t="str">
        <f>IF($D$22=1,N52,S52)</f>
        <v>Kriechbeiwert t = 100.000 h</v>
      </c>
      <c r="C52" s="351" t="s">
        <v>310</v>
      </c>
      <c r="D52" s="405">
        <v>7</v>
      </c>
      <c r="E52" s="377" t="s">
        <v>108</v>
      </c>
      <c r="H52" s="346"/>
      <c r="I52" s="346"/>
      <c r="J52" s="346"/>
      <c r="K52" s="345" t="s">
        <v>310</v>
      </c>
      <c r="L52" s="378" t="s">
        <v>108</v>
      </c>
      <c r="M52" s="376">
        <f>IF(R26=1,D52,0)</f>
        <v>7</v>
      </c>
      <c r="N52" s="379" t="s">
        <v>224</v>
      </c>
      <c r="S52" s="253" t="s">
        <v>223</v>
      </c>
    </row>
    <row r="53" spans="1:67" s="253" customFormat="1" ht="18.75" customHeight="1">
      <c r="B53" s="253" t="str">
        <f>IF($D$22=1,N53,S53)</f>
        <v>Kriechbeiwert t = 2.000 h</v>
      </c>
      <c r="C53" s="351" t="s">
        <v>311</v>
      </c>
      <c r="D53" s="406">
        <v>2.4</v>
      </c>
      <c r="E53" s="380" t="s">
        <v>108</v>
      </c>
      <c r="H53" s="346"/>
      <c r="I53" s="346"/>
      <c r="J53" s="346"/>
      <c r="K53" s="345" t="s">
        <v>311</v>
      </c>
      <c r="L53" s="381" t="s">
        <v>108</v>
      </c>
      <c r="M53" s="376">
        <f>IF(R26=1,D53,0)</f>
        <v>2.4</v>
      </c>
      <c r="N53" s="355" t="s">
        <v>225</v>
      </c>
      <c r="S53" s="253" t="s">
        <v>222</v>
      </c>
    </row>
    <row r="54" spans="1:67" ht="15.75" customHeight="1">
      <c r="D54" s="318"/>
      <c r="M54" s="318"/>
    </row>
    <row r="55" spans="1:67" ht="15.75" customHeight="1"/>
    <row r="56" spans="1:67" ht="15.75" customHeight="1">
      <c r="A56" s="382"/>
      <c r="B56" s="382"/>
      <c r="C56" s="382"/>
      <c r="D56" s="382"/>
      <c r="E56" s="382"/>
      <c r="F56" s="382"/>
      <c r="G56" s="382" t="s">
        <v>247</v>
      </c>
      <c r="H56" s="382"/>
      <c r="I56" s="382"/>
      <c r="J56" s="382"/>
    </row>
    <row r="57" spans="1:67" s="262" customFormat="1" ht="18" customHeight="1">
      <c r="A57" s="383"/>
      <c r="B57" s="323" t="str">
        <f t="shared" ref="B57:B64" si="4">IF($D$22=1,N57,S57)</f>
        <v>Statisches System und Grundlasten</v>
      </c>
      <c r="C57" s="341"/>
      <c r="D57" s="477"/>
      <c r="E57" s="342"/>
      <c r="F57" s="383"/>
      <c r="G57" s="383"/>
      <c r="H57" s="384"/>
      <c r="I57" s="384"/>
      <c r="J57" s="384"/>
      <c r="K57" s="343"/>
      <c r="L57" s="345" t="s">
        <v>332</v>
      </c>
      <c r="M57" s="358">
        <v>1</v>
      </c>
      <c r="N57" s="344" t="s">
        <v>263</v>
      </c>
      <c r="S57" s="344" t="s">
        <v>264</v>
      </c>
    </row>
    <row r="58" spans="1:67" s="253" customFormat="1" ht="18.75" customHeight="1">
      <c r="A58" s="385"/>
      <c r="B58" s="253" t="str">
        <f t="shared" si="4"/>
        <v>Anzahl Felder</v>
      </c>
      <c r="C58" s="375"/>
      <c r="D58" s="483">
        <v>2</v>
      </c>
      <c r="E58" s="355" t="str">
        <f>IF($D$22=1,Q58,V58)</f>
        <v>Felder</v>
      </c>
      <c r="F58" s="386" t="str">
        <f>IF(AND(D58&lt;&gt;1,D58&lt;&gt;2),IF($D$22=1,"Falsche Eingabe, nur 1 oder 2 Felder zulässig!","Misentry, only 1 or 2 span allowed!"),"")</f>
        <v/>
      </c>
      <c r="G58" s="387"/>
      <c r="H58" s="388"/>
      <c r="I58" s="388"/>
      <c r="J58" s="388"/>
      <c r="K58" s="345" t="str">
        <f>IF($D$22=1,N58,S58)</f>
        <v>Anzahl Felder</v>
      </c>
      <c r="L58" s="345" t="str">
        <f>IF($D$22=1,Q58,V58)</f>
        <v>Felder</v>
      </c>
      <c r="M58" s="358">
        <f>D58</f>
        <v>2</v>
      </c>
      <c r="N58" s="253" t="s">
        <v>0</v>
      </c>
      <c r="Q58" s="253" t="s">
        <v>96</v>
      </c>
      <c r="S58" s="253" t="s">
        <v>83</v>
      </c>
      <c r="V58" s="253" t="s">
        <v>86</v>
      </c>
    </row>
    <row r="59" spans="1:67" s="253" customFormat="1" ht="18.75" customHeight="1">
      <c r="A59" s="385"/>
      <c r="B59" s="253" t="str">
        <f t="shared" si="4"/>
        <v>Einzelstützweite</v>
      </c>
      <c r="C59" s="375" t="s">
        <v>25</v>
      </c>
      <c r="D59" s="482">
        <v>2</v>
      </c>
      <c r="E59" s="389" t="s">
        <v>98</v>
      </c>
      <c r="F59" s="386"/>
      <c r="G59" s="387"/>
      <c r="H59" s="388"/>
      <c r="I59" s="388"/>
      <c r="J59" s="388"/>
      <c r="K59" s="345" t="s">
        <v>25</v>
      </c>
      <c r="L59" s="345" t="s">
        <v>98</v>
      </c>
      <c r="M59" s="358">
        <f t="shared" ref="M59:M63" si="5">D59</f>
        <v>2</v>
      </c>
      <c r="N59" s="253" t="s">
        <v>26</v>
      </c>
      <c r="S59" s="253" t="s">
        <v>84</v>
      </c>
    </row>
    <row r="60" spans="1:67" s="253" customFormat="1" ht="18.75" customHeight="1">
      <c r="A60" s="385"/>
      <c r="B60" s="253" t="str">
        <f t="shared" si="4"/>
        <v>Gleichstreckenlast, Eigengewicht</v>
      </c>
      <c r="C60" s="375" t="s">
        <v>203</v>
      </c>
      <c r="D60" s="482">
        <v>0.12</v>
      </c>
      <c r="E60" s="389" t="s">
        <v>313</v>
      </c>
      <c r="F60" s="390" t="str">
        <f>IF(D60&lt;&gt;0,IF(D60="","Eigengewicht, Self weignt g &gt; 0 !",""),"Eigengewicht, Self weignt g &gt; 0 !")</f>
        <v/>
      </c>
      <c r="G60" s="385"/>
      <c r="H60" s="388"/>
      <c r="I60" s="388"/>
      <c r="J60" s="388"/>
      <c r="K60" s="345" t="s">
        <v>203</v>
      </c>
      <c r="L60" s="345" t="s">
        <v>97</v>
      </c>
      <c r="M60" s="391">
        <f>IF(R26=1,D60,0)</f>
        <v>0.12</v>
      </c>
      <c r="N60" s="314" t="s">
        <v>259</v>
      </c>
      <c r="O60" s="314"/>
      <c r="P60" s="314"/>
      <c r="Q60" s="314"/>
      <c r="R60" s="314"/>
      <c r="S60" s="314" t="s">
        <v>326</v>
      </c>
      <c r="T60" s="314"/>
      <c r="U60" s="314"/>
    </row>
    <row r="61" spans="1:67" s="253" customFormat="1" ht="18.75" customHeight="1">
      <c r="A61" s="385"/>
      <c r="B61" s="253" t="str">
        <f t="shared" si="4"/>
        <v>Gleichstreckenlast, Schnee</v>
      </c>
      <c r="C61" s="375" t="s">
        <v>204</v>
      </c>
      <c r="D61" s="482">
        <v>1.3</v>
      </c>
      <c r="E61" s="389" t="s">
        <v>313</v>
      </c>
      <c r="G61" s="385"/>
      <c r="H61" s="388"/>
      <c r="I61" s="388"/>
      <c r="J61" s="388"/>
      <c r="K61" s="345" t="s">
        <v>204</v>
      </c>
      <c r="L61" s="345" t="s">
        <v>97</v>
      </c>
      <c r="M61" s="358">
        <f>IF(R26=1,D61,0)</f>
        <v>1.3</v>
      </c>
      <c r="N61" s="314" t="s">
        <v>265</v>
      </c>
      <c r="O61" s="314"/>
      <c r="P61" s="314"/>
      <c r="Q61" s="314"/>
      <c r="R61" s="314"/>
      <c r="S61" s="314" t="s">
        <v>327</v>
      </c>
      <c r="T61" s="314"/>
      <c r="U61" s="314"/>
    </row>
    <row r="62" spans="1:67" s="253" customFormat="1" ht="18.75" customHeight="1">
      <c r="A62" s="385"/>
      <c r="B62" s="253" t="str">
        <f t="shared" si="4"/>
        <v>Gleichstreckenlast, Winddruck</v>
      </c>
      <c r="C62" s="375" t="s">
        <v>312</v>
      </c>
      <c r="D62" s="482">
        <v>0.5</v>
      </c>
      <c r="E62" s="389" t="s">
        <v>313</v>
      </c>
      <c r="G62" s="385"/>
      <c r="H62" s="388"/>
      <c r="I62" s="388"/>
      <c r="J62" s="388"/>
      <c r="K62" s="345" t="s">
        <v>312</v>
      </c>
      <c r="L62" s="345" t="s">
        <v>313</v>
      </c>
      <c r="M62" s="358">
        <f t="shared" si="5"/>
        <v>0.5</v>
      </c>
      <c r="N62" s="314" t="s">
        <v>266</v>
      </c>
      <c r="O62" s="314"/>
      <c r="P62" s="314"/>
      <c r="Q62" s="314"/>
      <c r="R62" s="314"/>
      <c r="S62" s="314" t="s">
        <v>328</v>
      </c>
      <c r="T62" s="314"/>
      <c r="U62" s="314"/>
    </row>
    <row r="63" spans="1:67" s="253" customFormat="1" ht="18.75" customHeight="1">
      <c r="A63" s="385"/>
      <c r="B63" s="253" t="str">
        <f t="shared" si="4"/>
        <v>Gleichstreckenlast, Windsog</v>
      </c>
      <c r="C63" s="363" t="s">
        <v>314</v>
      </c>
      <c r="D63" s="489">
        <v>0.7</v>
      </c>
      <c r="E63" s="389" t="s">
        <v>313</v>
      </c>
      <c r="G63" s="385"/>
      <c r="H63" s="388"/>
      <c r="I63" s="388"/>
      <c r="J63" s="388"/>
      <c r="K63" s="345" t="s">
        <v>314</v>
      </c>
      <c r="L63" s="345" t="s">
        <v>97</v>
      </c>
      <c r="M63" s="358">
        <f t="shared" si="5"/>
        <v>0.7</v>
      </c>
      <c r="N63" s="314" t="s">
        <v>267</v>
      </c>
      <c r="O63" s="314"/>
      <c r="P63" s="314"/>
      <c r="Q63" s="314"/>
      <c r="R63" s="314"/>
      <c r="S63" s="314" t="s">
        <v>329</v>
      </c>
      <c r="T63" s="314"/>
      <c r="U63" s="314"/>
    </row>
    <row r="64" spans="1:67" s="253" customFormat="1" ht="18.75" customHeight="1">
      <c r="A64" s="385"/>
      <c r="B64" s="484" t="str">
        <f t="shared" si="4"/>
        <v>Farbgruppe</v>
      </c>
      <c r="C64" s="487"/>
      <c r="D64" s="488"/>
      <c r="E64" s="389"/>
      <c r="G64" s="385"/>
      <c r="H64" s="388"/>
      <c r="I64" s="388"/>
      <c r="J64" s="388"/>
      <c r="K64" s="346"/>
      <c r="L64" s="346"/>
      <c r="M64" s="392">
        <f>IF(M73=1,M70,IF(M73=2,M71,IF(M73=3,M72,0)))</f>
        <v>65</v>
      </c>
      <c r="N64" s="253" t="s">
        <v>246</v>
      </c>
      <c r="P64" s="253" t="s">
        <v>205</v>
      </c>
      <c r="S64" s="253" t="s">
        <v>245</v>
      </c>
      <c r="U64" s="253" t="s">
        <v>210</v>
      </c>
    </row>
    <row r="65" spans="1:67" ht="16.5" customHeight="1">
      <c r="A65" s="382"/>
      <c r="B65" s="382"/>
      <c r="C65" s="485"/>
      <c r="D65" s="486"/>
      <c r="E65" s="394"/>
      <c r="F65" s="382"/>
      <c r="G65" s="382"/>
      <c r="H65" s="395"/>
      <c r="I65" s="395"/>
      <c r="J65" s="395"/>
      <c r="K65" s="171"/>
      <c r="L65" s="171"/>
      <c r="M65" s="396">
        <v>25</v>
      </c>
      <c r="N65" s="314" t="s">
        <v>206</v>
      </c>
      <c r="O65" s="314"/>
      <c r="P65" s="314"/>
      <c r="Q65" s="314"/>
      <c r="R65" s="314"/>
      <c r="S65" s="314" t="s">
        <v>211</v>
      </c>
      <c r="T65" s="314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</row>
    <row r="66" spans="1:67" ht="16.5" customHeight="1">
      <c r="A66" s="382"/>
      <c r="B66" s="382"/>
      <c r="C66" s="393"/>
      <c r="D66" s="382"/>
      <c r="E66" s="394"/>
      <c r="F66" s="382"/>
      <c r="G66" s="382"/>
      <c r="H66" s="395"/>
      <c r="I66" s="395"/>
      <c r="J66" s="395"/>
      <c r="K66" s="171"/>
      <c r="L66" s="171"/>
      <c r="M66" s="396">
        <v>-20</v>
      </c>
      <c r="N66" s="314" t="s">
        <v>207</v>
      </c>
      <c r="O66" s="314"/>
      <c r="P66" s="314"/>
      <c r="Q66" s="314"/>
      <c r="R66" s="314"/>
      <c r="S66" s="314" t="s">
        <v>212</v>
      </c>
      <c r="T66" s="314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</row>
    <row r="67" spans="1:67" ht="16.5" customHeight="1">
      <c r="C67" s="169"/>
      <c r="D67" s="314" t="s">
        <v>247</v>
      </c>
      <c r="E67" s="397"/>
      <c r="H67" s="171"/>
      <c r="I67" s="171"/>
      <c r="J67" s="171"/>
      <c r="K67" s="171"/>
      <c r="L67" s="171"/>
      <c r="M67" s="396">
        <v>20</v>
      </c>
      <c r="N67" s="314" t="s">
        <v>208</v>
      </c>
      <c r="O67" s="314"/>
      <c r="P67" s="314"/>
      <c r="Q67" s="314"/>
      <c r="R67" s="314"/>
      <c r="S67" s="314" t="s">
        <v>213</v>
      </c>
      <c r="T67" s="314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</row>
    <row r="68" spans="1:67" ht="16.5" customHeight="1">
      <c r="C68" s="169"/>
      <c r="E68" s="397"/>
      <c r="H68" s="171"/>
      <c r="I68" s="171"/>
      <c r="J68" s="171"/>
      <c r="K68" s="171"/>
      <c r="L68" s="171"/>
      <c r="M68" s="396">
        <v>0</v>
      </c>
      <c r="N68" s="314" t="s">
        <v>209</v>
      </c>
      <c r="O68" s="314"/>
      <c r="P68" s="314"/>
      <c r="Q68" s="314"/>
      <c r="R68" s="314"/>
      <c r="S68" s="314" t="s">
        <v>214</v>
      </c>
      <c r="T68" s="314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</row>
    <row r="69" spans="1:67" ht="16.5" customHeight="1">
      <c r="C69" s="169"/>
      <c r="E69" s="397"/>
      <c r="H69" s="171"/>
      <c r="I69" s="171"/>
      <c r="J69" s="171"/>
      <c r="K69" s="171"/>
      <c r="L69" s="171"/>
      <c r="M69" s="396">
        <v>20</v>
      </c>
      <c r="N69" s="314" t="s">
        <v>208</v>
      </c>
      <c r="O69" s="314"/>
      <c r="P69" s="314"/>
      <c r="Q69" s="314"/>
      <c r="R69" s="314"/>
      <c r="S69" s="314" t="s">
        <v>213</v>
      </c>
      <c r="T69" s="314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</row>
    <row r="70" spans="1:67">
      <c r="M70" s="396">
        <v>55</v>
      </c>
      <c r="N70" s="314" t="s">
        <v>248</v>
      </c>
    </row>
    <row r="71" spans="1:67">
      <c r="M71" s="396">
        <v>65</v>
      </c>
      <c r="N71" s="314" t="s">
        <v>331</v>
      </c>
    </row>
    <row r="72" spans="1:67">
      <c r="M72" s="396">
        <v>80</v>
      </c>
      <c r="N72" s="314" t="s">
        <v>249</v>
      </c>
    </row>
    <row r="73" spans="1:67">
      <c r="M73" s="408">
        <v>2</v>
      </c>
    </row>
  </sheetData>
  <sheetProtection password="D591" sheet="1" objects="1" scenarios="1" selectLockedCells="1"/>
  <dataConsolidate/>
  <mergeCells count="10">
    <mergeCell ref="D32:E32"/>
    <mergeCell ref="F2:G2"/>
    <mergeCell ref="N4:R4"/>
    <mergeCell ref="N5:R5"/>
    <mergeCell ref="B4:G4"/>
    <mergeCell ref="B5:G5"/>
    <mergeCell ref="B3:G3"/>
    <mergeCell ref="B6:G6"/>
    <mergeCell ref="D8:D9"/>
    <mergeCell ref="B8:B9"/>
  </mergeCells>
  <pageMargins left="0.70866141732283472" right="0.70866141732283472" top="0.74803149606299213" bottom="0.74803149606299213" header="0.31496062992125984" footer="0.31496062992125984"/>
  <pageSetup paperSize="9" scale="54" fitToWidth="0" fitToHeight="0" orientation="portrait" r:id="rId1"/>
  <rowBreaks count="1" manualBreakCount="1">
    <brk id="49" max="7" man="1"/>
  </rowBreaks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7" r:id="rId4" name="Drop Down 9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47625</xdr:rowOff>
                  </from>
                  <to>
                    <xdr:col>3</xdr:col>
                    <xdr:colOff>1190625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5" name="Option Button 10">
              <controlPr defaultSize="0" autoFill="0" autoLine="0" autoPict="0">
                <anchor moveWithCells="1">
                  <from>
                    <xdr:col>2</xdr:col>
                    <xdr:colOff>123825</xdr:colOff>
                    <xdr:row>63</xdr:row>
                    <xdr:rowOff>47625</xdr:rowOff>
                  </from>
                  <to>
                    <xdr:col>2</xdr:col>
                    <xdr:colOff>447675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6" name="Option Button 11">
              <controlPr defaultSize="0" autoFill="0" autoLine="0" autoPict="0">
                <anchor moveWithCells="1">
                  <from>
                    <xdr:col>3</xdr:col>
                    <xdr:colOff>228600</xdr:colOff>
                    <xdr:row>63</xdr:row>
                    <xdr:rowOff>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7" name="Option Button 12">
              <controlPr defaultSize="0" autoFill="0" autoLine="0" autoPict="0">
                <anchor moveWithCells="1">
                  <from>
                    <xdr:col>3</xdr:col>
                    <xdr:colOff>828675</xdr:colOff>
                    <xdr:row>63</xdr:row>
                    <xdr:rowOff>19050</xdr:rowOff>
                  </from>
                  <to>
                    <xdr:col>3</xdr:col>
                    <xdr:colOff>1066800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8" name="Drop Down 13">
              <controlPr defaultSize="0" autoLine="0" autoPict="0">
                <anchor>
                  <from>
                    <xdr:col>1</xdr:col>
                    <xdr:colOff>1466850</xdr:colOff>
                    <xdr:row>27</xdr:row>
                    <xdr:rowOff>123825</xdr:rowOff>
                  </from>
                  <to>
                    <xdr:col>1</xdr:col>
                    <xdr:colOff>2743200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9" name="Drop Down 14">
              <controlPr defaultSize="0" autoLine="0" autoPict="0">
                <anchor>
                  <from>
                    <xdr:col>1</xdr:col>
                    <xdr:colOff>1466850</xdr:colOff>
                    <xdr:row>24</xdr:row>
                    <xdr:rowOff>152400</xdr:rowOff>
                  </from>
                  <to>
                    <xdr:col>1</xdr:col>
                    <xdr:colOff>2743200</xdr:colOff>
                    <xdr:row>26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B2:Y56"/>
  <sheetViews>
    <sheetView topLeftCell="A25" zoomScaleNormal="100" zoomScaleSheetLayoutView="85" workbookViewId="0">
      <selection activeCell="I56" sqref="I56"/>
    </sheetView>
  </sheetViews>
  <sheetFormatPr baseColWidth="10" defaultRowHeight="12.75"/>
  <cols>
    <col min="1" max="1" width="11.42578125" style="60"/>
    <col min="2" max="2" width="14" style="60" customWidth="1"/>
    <col min="3" max="3" width="11.42578125" style="60"/>
    <col min="4" max="4" width="12.5703125" style="60" bestFit="1" customWidth="1"/>
    <col min="5" max="5" width="11.42578125" style="60"/>
    <col min="6" max="6" width="42" style="60" customWidth="1"/>
    <col min="7" max="7" width="41.140625" style="60" customWidth="1"/>
    <col min="8" max="8" width="12.5703125" style="60" customWidth="1"/>
    <col min="9" max="9" width="13.140625" style="60" customWidth="1"/>
    <col min="10" max="11" width="13" style="60" customWidth="1"/>
    <col min="12" max="12" width="4.5703125" style="60" customWidth="1"/>
    <col min="13" max="13" width="13.140625" style="60" bestFit="1" customWidth="1"/>
    <col min="14" max="15" width="11.5703125" style="60" bestFit="1" customWidth="1"/>
    <col min="16" max="16" width="12.5703125" style="60" bestFit="1" customWidth="1"/>
    <col min="17" max="17" width="7.85546875" style="60" customWidth="1"/>
    <col min="18" max="19" width="11.5703125" style="60" bestFit="1" customWidth="1"/>
    <col min="20" max="20" width="7.7109375" style="60" customWidth="1"/>
    <col min="21" max="21" width="11.5703125" style="60" bestFit="1" customWidth="1"/>
    <col min="22" max="22" width="8.28515625" style="60" customWidth="1"/>
    <col min="23" max="24" width="13.140625" style="60" bestFit="1" customWidth="1"/>
    <col min="25" max="25" width="11.5703125" style="60" bestFit="1" customWidth="1"/>
    <col min="26" max="16384" width="11.42578125" style="60"/>
  </cols>
  <sheetData>
    <row r="2" spans="2:25">
      <c r="B2" s="58" t="s">
        <v>178</v>
      </c>
      <c r="F2" s="58" t="s">
        <v>1</v>
      </c>
    </row>
    <row r="3" spans="2:25">
      <c r="B3" s="58"/>
      <c r="F3" s="58"/>
    </row>
    <row r="4" spans="2:25">
      <c r="B4" s="58"/>
      <c r="C4" s="72" t="s">
        <v>42</v>
      </c>
      <c r="D4" s="60">
        <f>'Schnittgrößen (g,T)'!$C$5/('Schnittgrößen (gt)'!$C$3/10*'Schnittgrößen (g,T)'!$C$4*(2*100*'Eingabe - Input'!$M$59)^2)</f>
        <v>0.25242331412932784</v>
      </c>
      <c r="F4" s="58"/>
    </row>
    <row r="5" spans="2:25">
      <c r="B5" s="58"/>
      <c r="C5" s="72" t="s">
        <v>105</v>
      </c>
      <c r="D5" s="60">
        <f>SQRT((1+'Schnittgrößen (g,T)'!$C$11)/('Schnittgrößen (g,T)'!$C$11*$D$4))</f>
        <v>67.825077975193111</v>
      </c>
      <c r="F5" s="58"/>
    </row>
    <row r="6" spans="2:25">
      <c r="B6" s="58"/>
      <c r="F6" s="58"/>
    </row>
    <row r="7" spans="2:25">
      <c r="B7" s="58"/>
      <c r="D7" s="60">
        <f>$D$5/2</f>
        <v>33.912538987596555</v>
      </c>
      <c r="F7" s="58"/>
    </row>
    <row r="8" spans="2:25">
      <c r="B8" s="58"/>
      <c r="F8" s="58"/>
    </row>
    <row r="9" spans="2:25">
      <c r="B9" s="58"/>
      <c r="F9" s="58"/>
    </row>
    <row r="10" spans="2:25">
      <c r="B10" s="58"/>
      <c r="D10" s="60">
        <f>1/(($D$5)^2)</f>
        <v>2.1737990596908444E-4</v>
      </c>
      <c r="F10" s="75"/>
    </row>
    <row r="11" spans="2:25" ht="15.75">
      <c r="B11" s="58"/>
      <c r="F11" s="58"/>
      <c r="M11" s="76" t="s">
        <v>184</v>
      </c>
      <c r="N11" s="77" t="s">
        <v>184</v>
      </c>
      <c r="O11" s="76" t="s">
        <v>183</v>
      </c>
      <c r="P11" s="76" t="s">
        <v>185</v>
      </c>
      <c r="Q11" s="78"/>
      <c r="R11" s="78" t="s">
        <v>188</v>
      </c>
      <c r="S11" s="78" t="s">
        <v>187</v>
      </c>
      <c r="T11" s="78"/>
      <c r="U11" s="78" t="s">
        <v>186</v>
      </c>
      <c r="V11" s="78"/>
      <c r="W11" s="79" t="s">
        <v>189</v>
      </c>
      <c r="X11" s="78" t="s">
        <v>190</v>
      </c>
      <c r="Y11" s="77" t="s">
        <v>184</v>
      </c>
    </row>
    <row r="12" spans="2:25" ht="12.75" customHeight="1">
      <c r="B12" s="58"/>
      <c r="F12" s="58"/>
      <c r="L12" s="522" t="s">
        <v>197</v>
      </c>
      <c r="M12" s="80">
        <f>('Eingabe - Input'!$M$58*'Eingabe - Input'!$M$59)*N12</f>
        <v>0</v>
      </c>
      <c r="N12" s="73">
        <v>0</v>
      </c>
      <c r="O12" s="60">
        <f>(COSH($D$7)-COSH(($D$5*(1-2*N12))/2))/COSH($D$7)</f>
        <v>0</v>
      </c>
      <c r="P12" s="60">
        <f>(SINH($D$7)*SINH($D$5*N12))/SINH($D$5)</f>
        <v>0</v>
      </c>
      <c r="Q12" s="81"/>
      <c r="R12" s="60">
        <f>1/24*N12*(1-2*N12^2+N12^3)+(1/2*$D$13*N12*(1-N12))-($D$19*O12)</f>
        <v>0</v>
      </c>
      <c r="S12" s="70">
        <f>1/12*N12*(0.75-N12^2)+(1/2*$D$13*N12)-($D$16*P12)</f>
        <v>0</v>
      </c>
      <c r="U12" s="81">
        <f>1/2*N12*(1-N12)-($D$10*O12)</f>
        <v>0</v>
      </c>
      <c r="W12" s="60">
        <f>(((('Eingabe - Input'!$M$57)/100)*(2*('Eingabe - Input'!$M$59)*100)^4)/('Schnittgrößen (g,T)'!$C$8))*(R12-$I$46*S12)</f>
        <v>0</v>
      </c>
      <c r="X12" s="60">
        <f>('Schnittgrößen (g,T)'!$C$47*100)*(2*100*'Eingabe - Input'!$M$59)^2/(1+'Schnittgrößen (g,T)'!$C$11)*(U12-$I$49*S12)</f>
        <v>0</v>
      </c>
      <c r="Y12" s="66">
        <f>N12</f>
        <v>0</v>
      </c>
    </row>
    <row r="13" spans="2:25">
      <c r="B13" s="58"/>
      <c r="D13" s="60">
        <f>1/('Schnittgrößen (g,T)'!$C$11*($D$5)^2)</f>
        <v>0.25220593422335874</v>
      </c>
      <c r="F13" s="58"/>
      <c r="L13" s="523"/>
      <c r="M13" s="80">
        <f>('Eingabe - Input'!$M$58*'Eingabe - Input'!$M$59)*N13</f>
        <v>0.1</v>
      </c>
      <c r="N13" s="82">
        <v>2.5000000000000001E-2</v>
      </c>
      <c r="O13" s="60">
        <f t="shared" ref="O13:O32" si="0">(COSH($D$7)-COSH(($D$5*(1-2*N13))/2))/COSH($D$7)</f>
        <v>0.81651584231933405</v>
      </c>
      <c r="P13" s="60">
        <f t="shared" ref="P13:P32" si="1">(SINH($D$7)*SINH($D$5*N13))/SINH($D$5)</f>
        <v>4.9257225571986629E-15</v>
      </c>
      <c r="R13" s="60">
        <f t="shared" ref="R13:R32" si="2">1/24*N13*(1-2*N13^2+N13^3)+(1/2*$D$13*N13*(1-N13))-($D$19*O13)</f>
        <v>4.0693756080744633E-3</v>
      </c>
      <c r="S13" s="70">
        <f t="shared" ref="S13:S32" si="3">1/12*N13*(0.75-N13^2)+(1/2*$D$13*N13)-($D$16*P13)</f>
        <v>4.7137720944586325E-3</v>
      </c>
      <c r="U13" s="81">
        <f t="shared" ref="U13:U32" si="4">1/2*N13*(1-N13)-($D$10*O13)</f>
        <v>1.2010005862974356E-2</v>
      </c>
      <c r="W13" s="60">
        <f>(((('Eingabe - Input'!$M$57)/100)*(2*('Eingabe - Input'!$M$59)*100)^4)/('Schnittgrößen (g,T)'!$C$8))*(R13-$I$46*S13)</f>
        <v>0.12101083500726424</v>
      </c>
      <c r="X13" s="60">
        <f>('Schnittgrößen (g,T)'!$C$47*100)*(2*100*'Eingabe - Input'!$M$59)^2/(1+'Schnittgrößen (g,T)'!$C$11)*(U13-$I$49*S13)</f>
        <v>-4.6907989754557469E-2</v>
      </c>
      <c r="Y13" s="66">
        <f t="shared" ref="Y13:Y31" si="5">N13</f>
        <v>2.5000000000000001E-2</v>
      </c>
    </row>
    <row r="14" spans="2:25">
      <c r="B14" s="58"/>
      <c r="F14" s="58"/>
      <c r="L14" s="523"/>
      <c r="M14" s="80">
        <f>('Eingabe - Input'!$M$58*'Eingabe - Input'!$M$59)*N14</f>
        <v>0.2</v>
      </c>
      <c r="N14" s="82">
        <v>0.05</v>
      </c>
      <c r="O14" s="60">
        <f t="shared" si="0"/>
        <v>0.96633356388021641</v>
      </c>
      <c r="P14" s="60">
        <f t="shared" si="1"/>
        <v>2.7749284436183612E-14</v>
      </c>
      <c r="R14" s="60">
        <f t="shared" si="2"/>
        <v>8.0100892644751325E-3</v>
      </c>
      <c r="S14" s="70">
        <f t="shared" si="3"/>
        <v>9.4197316889172E-3</v>
      </c>
      <c r="U14" s="81">
        <f t="shared" si="4"/>
        <v>2.3539938500748949E-2</v>
      </c>
      <c r="W14" s="60">
        <f>(((('Eingabe - Input'!$M$57)/100)*(2*('Eingabe - Input'!$M$59)*100)^4)/('Schnittgrößen (g,T)'!$C$8))*(R14-$I$46*S14)</f>
        <v>0.23206725033015685</v>
      </c>
      <c r="X14" s="60">
        <f>('Schnittgrößen (g,T)'!$C$47*100)*(2*100*'Eingabe - Input'!$M$59)^2/(1+'Schnittgrößen (g,T)'!$C$11)*(U14-$I$49*S14)</f>
        <v>-8.9277588931892235E-2</v>
      </c>
      <c r="Y14" s="66">
        <f t="shared" si="5"/>
        <v>0.05</v>
      </c>
    </row>
    <row r="15" spans="2:25">
      <c r="B15" s="58"/>
      <c r="F15" s="58"/>
      <c r="L15" s="523"/>
      <c r="M15" s="80">
        <f>('Eingabe - Input'!$M$58*'Eingabe - Input'!$M$59)*N15</f>
        <v>0.3</v>
      </c>
      <c r="N15" s="82">
        <v>7.4999999999999997E-2</v>
      </c>
      <c r="O15" s="60">
        <f t="shared" si="0"/>
        <v>0.99382274232645162</v>
      </c>
      <c r="P15" s="60">
        <f t="shared" si="1"/>
        <v>1.5140114680633807E-13</v>
      </c>
      <c r="R15" s="60">
        <f t="shared" si="2"/>
        <v>1.1785069615558762E-2</v>
      </c>
      <c r="S15" s="70">
        <f t="shared" si="3"/>
        <v>1.4110066283375388E-2</v>
      </c>
      <c r="U15" s="81">
        <f t="shared" si="4"/>
        <v>3.4471462905723144E-2</v>
      </c>
      <c r="W15" s="60">
        <f>(((('Eingabe - Input'!$M$57)/100)*(2*('Eingabe - Input'!$M$59)*100)^4)/('Schnittgrößen (g,T)'!$C$8))*(R15-$I$46*S15)</f>
        <v>0.33054242139194295</v>
      </c>
      <c r="X15" s="60">
        <f>('Schnittgrößen (g,T)'!$C$47*100)*(2*100*'Eingabe - Input'!$M$59)^2/(1+'Schnittgrößen (g,T)'!$C$11)*(U15-$I$49*S15)</f>
        <v>-0.12607692166728873</v>
      </c>
      <c r="Y15" s="66">
        <f t="shared" si="5"/>
        <v>7.4999999999999997E-2</v>
      </c>
    </row>
    <row r="16" spans="2:25">
      <c r="B16" s="58"/>
      <c r="D16" s="60">
        <f>1/('Schnittgrößen (g,T)'!$C$11*($D$5)^3)</f>
        <v>3.7184761411642253E-3</v>
      </c>
      <c r="F16" s="58"/>
      <c r="L16" s="523"/>
      <c r="M16" s="80">
        <f>('Eingabe - Input'!$M$58*'Eingabe - Input'!$M$59)*N16</f>
        <v>0.4</v>
      </c>
      <c r="N16" s="82">
        <v>0.1</v>
      </c>
      <c r="O16" s="60">
        <f t="shared" si="0"/>
        <v>0.99886657107899257</v>
      </c>
      <c r="P16" s="60">
        <f t="shared" si="1"/>
        <v>8.2517603523159789E-13</v>
      </c>
      <c r="R16" s="60">
        <f t="shared" si="2"/>
        <v>1.5382004677461272E-2</v>
      </c>
      <c r="S16" s="70">
        <f t="shared" si="3"/>
        <v>1.8776963377831538E-2</v>
      </c>
      <c r="U16" s="81">
        <f t="shared" si="4"/>
        <v>4.4782866478703193E-2</v>
      </c>
      <c r="W16" s="60">
        <f>(((('Eingabe - Input'!$M$57)/100)*(2*('Eingabe - Input'!$M$59)*100)^4)/('Schnittgrößen (g,T)'!$C$8))*(R16-$I$46*S16)</f>
        <v>0.41579036707327588</v>
      </c>
      <c r="X16" s="60">
        <f>('Schnittgrößen (g,T)'!$C$47*100)*(2*100*'Eingabe - Input'!$M$59)^2/(1+'Schnittgrößen (g,T)'!$C$11)*(U16-$I$49*S16)</f>
        <v>-0.15721072282765974</v>
      </c>
      <c r="Y16" s="66">
        <f t="shared" si="5"/>
        <v>0.1</v>
      </c>
    </row>
    <row r="17" spans="2:25">
      <c r="B17" s="58"/>
      <c r="F17" s="58"/>
      <c r="L17" s="523"/>
      <c r="M17" s="80">
        <f>('Eingabe - Input'!$M$58*'Eingabe - Input'!$M$59)*N17</f>
        <v>0.5</v>
      </c>
      <c r="N17" s="82">
        <v>0.125</v>
      </c>
      <c r="O17" s="60">
        <f t="shared" si="0"/>
        <v>0.99979203374913794</v>
      </c>
      <c r="P17" s="60">
        <f t="shared" si="1"/>
        <v>4.4972659767813827E-12</v>
      </c>
      <c r="R17" s="60">
        <f t="shared" si="2"/>
        <v>1.8793444369928136E-2</v>
      </c>
      <c r="S17" s="70">
        <f t="shared" si="3"/>
        <v>2.3412610472276531E-2</v>
      </c>
      <c r="U17" s="81">
        <f t="shared" si="4"/>
        <v>5.4470165301714973E-2</v>
      </c>
      <c r="W17" s="60">
        <f>(((('Eingabe - Input'!$M$57)/100)*(2*('Eingabe - Input'!$M$59)*100)^4)/('Schnittgrößen (g,T)'!$C$8))*(R17-$I$46*S17)</f>
        <v>0.48755407697777381</v>
      </c>
      <c r="X17" s="60">
        <f>('Schnittgrößen (g,T)'!$C$47*100)*(2*100*'Eingabe - Input'!$M$59)^2/(1+'Schnittgrößen (g,T)'!$C$11)*(U17-$I$49*S17)</f>
        <v>-0.18275558051119203</v>
      </c>
      <c r="Y17" s="66">
        <f t="shared" si="5"/>
        <v>0.125</v>
      </c>
    </row>
    <row r="18" spans="2:25">
      <c r="B18" s="58"/>
      <c r="F18" s="58"/>
      <c r="L18" s="523"/>
      <c r="M18" s="80">
        <f>('Eingabe - Input'!$M$58*'Eingabe - Input'!$M$59)*N18</f>
        <v>0.6</v>
      </c>
      <c r="N18" s="73">
        <v>0.15</v>
      </c>
      <c r="O18" s="60">
        <f t="shared" si="0"/>
        <v>0.99996184148763456</v>
      </c>
      <c r="P18" s="60">
        <f t="shared" si="1"/>
        <v>2.451037856121954E-11</v>
      </c>
      <c r="R18" s="60">
        <f t="shared" si="2"/>
        <v>2.2013149646494246E-2</v>
      </c>
      <c r="S18" s="70">
        <f t="shared" si="3"/>
        <v>2.8009195066660761E-2</v>
      </c>
      <c r="U18" s="81">
        <f t="shared" si="4"/>
        <v>6.3532628388924747E-2</v>
      </c>
      <c r="W18" s="60">
        <f>(((('Eingabe - Input'!$M$57)/100)*(2*('Eingabe - Input'!$M$59)*100)^4)/('Schnittgrößen (g,T)'!$C$8))*(R18-$I$46*S18)</f>
        <v>0.54567342800559282</v>
      </c>
      <c r="X18" s="60">
        <f>('Schnittgrößen (g,T)'!$C$47*100)*(2*100*'Eingabe - Input'!$M$59)^2/(1+'Schnittgrößen (g,T)'!$C$11)*(U18-$I$49*S18)</f>
        <v>-0.20281961516203417</v>
      </c>
      <c r="Y18" s="66">
        <f t="shared" si="5"/>
        <v>0.15</v>
      </c>
    </row>
    <row r="19" spans="2:25">
      <c r="B19" s="58"/>
      <c r="D19" s="60">
        <f>1/('Schnittgrößen (g,T)'!$C$11*($D$5)^4)</f>
        <v>5.4824502266318823E-5</v>
      </c>
      <c r="F19" s="58"/>
      <c r="L19" s="523"/>
      <c r="M19" s="80">
        <f>('Eingabe - Input'!$M$58*'Eingabe - Input'!$M$59)*N19</f>
        <v>0.7</v>
      </c>
      <c r="N19" s="82">
        <v>0.17499999999999999</v>
      </c>
      <c r="O19" s="60">
        <f t="shared" si="0"/>
        <v>0.99999299851750023</v>
      </c>
      <c r="P19" s="60">
        <f t="shared" si="1"/>
        <v>1.3358307826425256E-10</v>
      </c>
      <c r="R19" s="60">
        <f t="shared" si="2"/>
        <v>2.5035422617710183E-2</v>
      </c>
      <c r="S19" s="70">
        <f t="shared" si="3"/>
        <v>3.255890466071383E-2</v>
      </c>
      <c r="U19" s="81">
        <f t="shared" si="4"/>
        <v>7.1970121616012517E-2</v>
      </c>
      <c r="W19" s="60">
        <f>(((('Eingabe - Input'!$M$57)/100)*(2*('Eingabe - Input'!$M$59)*100)^4)/('Schnittgrößen (g,T)'!$C$8))*(R19-$I$46*S19)</f>
        <v>0.59003159167951869</v>
      </c>
      <c r="X19" s="60">
        <f>('Schnittgrößen (g,T)'!$C$47*100)*(2*100*'Eingabe - Input'!$M$59)^2/(1+'Schnittgrößen (g,T)'!$C$11)*(U19-$I$49*S19)</f>
        <v>-0.21751673291341964</v>
      </c>
      <c r="Y19" s="66">
        <f t="shared" si="5"/>
        <v>0.17499999999999999</v>
      </c>
    </row>
    <row r="20" spans="2:25">
      <c r="B20" s="58"/>
      <c r="F20" s="58"/>
      <c r="L20" s="523"/>
      <c r="M20" s="80">
        <f>('Eingabe - Input'!$M$58*'Eingabe - Input'!$M$59)*N20</f>
        <v>0.8</v>
      </c>
      <c r="N20" s="82">
        <v>0.2</v>
      </c>
      <c r="O20" s="60">
        <f t="shared" si="0"/>
        <v>0.99999871533888096</v>
      </c>
      <c r="P20" s="60">
        <f t="shared" si="1"/>
        <v>7.2803603296949133E-10</v>
      </c>
      <c r="R20" s="60">
        <f t="shared" si="2"/>
        <v>2.7854983639366619E-2</v>
      </c>
      <c r="S20" s="70">
        <f t="shared" si="3"/>
        <v>3.7053926752962027E-2</v>
      </c>
      <c r="U20" s="81">
        <f t="shared" si="4"/>
        <v>7.9782620373290439E-2</v>
      </c>
      <c r="W20" s="60">
        <f>(((('Eingabe - Input'!$M$57)/100)*(2*('Eingabe - Input'!$M$59)*100)^4)/('Schnittgrößen (g,T)'!$C$8))*(R20-$I$46*S20)</f>
        <v>0.62054520077953668</v>
      </c>
      <c r="X20" s="60">
        <f>('Schnittgrößen (g,T)'!$C$47*100)*(2*100*'Eingabe - Input'!$M$59)^2/(1+'Schnittgrößen (g,T)'!$C$11)*(U20-$I$49*S20)</f>
        <v>-0.22696190149801751</v>
      </c>
      <c r="Y20" s="66">
        <f t="shared" si="5"/>
        <v>0.2</v>
      </c>
    </row>
    <row r="21" spans="2:25">
      <c r="B21" s="58"/>
      <c r="F21" s="58"/>
      <c r="L21" s="523"/>
      <c r="M21" s="80">
        <f>('Eingabe - Input'!$M$58*'Eingabe - Input'!$M$59)*N21</f>
        <v>0.9</v>
      </c>
      <c r="N21" s="82">
        <v>0.22500000000000001</v>
      </c>
      <c r="O21" s="60">
        <f t="shared" si="0"/>
        <v>0.99999976428503667</v>
      </c>
      <c r="P21" s="60">
        <f t="shared" si="1"/>
        <v>3.9678413775521589E-9</v>
      </c>
      <c r="R21" s="60">
        <f t="shared" si="2"/>
        <v>3.0466948760130726E-2</v>
      </c>
      <c r="S21" s="70">
        <f t="shared" si="3"/>
        <v>4.1486448835373536E-2</v>
      </c>
      <c r="U21" s="81">
        <f t="shared" si="4"/>
        <v>8.6970120145270613E-2</v>
      </c>
      <c r="W21" s="60">
        <f>(((('Eingabe - Input'!$M$57)/100)*(2*('Eingabe - Input'!$M$59)*100)^4)/('Schnittgrößen (g,T)'!$C$8))*(R21-$I$46*S21)</f>
        <v>0.63716254530060901</v>
      </c>
      <c r="X21" s="60">
        <f>('Schnittgrößen (g,T)'!$C$47*100)*(2*100*'Eingabe - Input'!$M$59)^2/(1+'Schnittgrößen (g,T)'!$C$11)*(U21-$I$49*S21)</f>
        <v>-0.23127028352862708</v>
      </c>
      <c r="Y21" s="66">
        <f t="shared" si="5"/>
        <v>0.22500000000000001</v>
      </c>
    </row>
    <row r="22" spans="2:25">
      <c r="B22" s="58"/>
      <c r="F22" s="58"/>
      <c r="L22" s="523"/>
      <c r="M22" s="80">
        <f>('Eingabe - Input'!$M$58*'Eingabe - Input'!$M$59)*N22</f>
        <v>1</v>
      </c>
      <c r="N22" s="82">
        <v>0.25</v>
      </c>
      <c r="O22" s="60">
        <f t="shared" si="0"/>
        <v>0.9999999567500385</v>
      </c>
      <c r="P22" s="60">
        <f t="shared" si="1"/>
        <v>2.1624980748790079E-8</v>
      </c>
      <c r="R22" s="60">
        <f t="shared" si="2"/>
        <v>3.2866825583544722E-2</v>
      </c>
      <c r="S22" s="70">
        <f t="shared" si="3"/>
        <v>4.5848658364174531E-2</v>
      </c>
      <c r="U22" s="81">
        <f t="shared" si="4"/>
        <v>9.3532620103432593E-2</v>
      </c>
      <c r="W22" s="60">
        <f>(((('Eingabe - Input'!$M$57)/100)*(2*('Eingabe - Input'!$M$59)*100)^4)/('Schnittgrößen (g,T)'!$C$8))*(R22-$I$46*S22)</f>
        <v>0.63986324266330674</v>
      </c>
      <c r="X22" s="60">
        <f>('Schnittgrößen (g,T)'!$C$47*100)*(2*100*'Eingabe - Input'!$M$59)^2/(1+'Schnittgrößen (g,T)'!$C$11)*(U22-$I$49*S22)</f>
        <v>-0.2305570778847866</v>
      </c>
      <c r="Y22" s="66">
        <f t="shared" si="5"/>
        <v>0.25</v>
      </c>
    </row>
    <row r="23" spans="2:25">
      <c r="B23" s="58"/>
      <c r="F23" s="58"/>
      <c r="L23" s="523"/>
      <c r="M23" s="83">
        <f>('Eingabe - Input'!$M$58*'Eingabe - Input'!$M$59)*N23</f>
        <v>1.1000000000000001</v>
      </c>
      <c r="N23" s="82">
        <v>0.27500000000000002</v>
      </c>
      <c r="O23" s="60">
        <f t="shared" si="0"/>
        <v>0.99999999206431722</v>
      </c>
      <c r="P23" s="60">
        <f t="shared" si="1"/>
        <v>1.1785748166022063E-7</v>
      </c>
      <c r="R23" s="60">
        <f t="shared" si="2"/>
        <v>3.5050512508768158E-2</v>
      </c>
      <c r="S23" s="70">
        <f t="shared" si="3"/>
        <v>5.0132742600794929E-2</v>
      </c>
      <c r="U23" s="81">
        <f t="shared" si="4"/>
        <v>9.9470120095755968E-2</v>
      </c>
      <c r="W23" s="60">
        <f>(((('Eingabe - Input'!$M$57)/100)*(2*('Eingabe - Input'!$M$59)*100)^4)/('Schnittgrößen (g,T)'!$C$8))*(R23-$I$46*S23)</f>
        <v>0.62865818387249262</v>
      </c>
      <c r="X23" s="60">
        <f>('Schnittgrößen (g,T)'!$C$47*100)*(2*100*'Eingabe - Input'!$M$59)^2/(1+'Schnittgrößen (g,T)'!$C$11)*(U23-$I$49*S23)</f>
        <v>-0.22493749287624146</v>
      </c>
      <c r="Y23" s="66">
        <f t="shared" si="5"/>
        <v>0.27500000000000002</v>
      </c>
    </row>
    <row r="24" spans="2:25">
      <c r="B24" s="58"/>
      <c r="D24" s="60">
        <f>(COSH($D$7)-1)/COSH($D$7)</f>
        <v>0.99999999999999623</v>
      </c>
      <c r="F24" s="58"/>
      <c r="L24" s="523"/>
      <c r="M24" s="80">
        <f>('Eingabe - Input'!$M$58*'Eingabe - Input'!$M$59)*N24</f>
        <v>1.2</v>
      </c>
      <c r="N24" s="73">
        <v>0.3</v>
      </c>
      <c r="O24" s="60">
        <f t="shared" si="0"/>
        <v>0.99999999854392796</v>
      </c>
      <c r="P24" s="60">
        <f t="shared" si="1"/>
        <v>6.4233055948807454E-7</v>
      </c>
      <c r="R24" s="60">
        <f t="shared" si="2"/>
        <v>3.7014298591266176E-2</v>
      </c>
      <c r="S24" s="70">
        <f t="shared" si="3"/>
        <v>5.4330887745012948E-2</v>
      </c>
      <c r="U24" s="81">
        <f t="shared" si="4"/>
        <v>0.10478262009434743</v>
      </c>
      <c r="W24" s="60">
        <f>(((('Eingabe - Input'!$M$57)/100)*(2*('Eingabe - Input'!$M$59)*100)^4)/('Schnittgrößen (g,T)'!$C$8))*(R24-$I$46*S24)</f>
        <v>0.6035895599891351</v>
      </c>
      <c r="X24" s="60">
        <f>('Schnittgrößen (g,T)'!$C$47*100)*(2*100*'Eingabe - Input'!$M$59)^2/(1+'Schnittgrößen (g,T)'!$C$11)*(U24-$I$49*S24)</f>
        <v>-0.21452675367150739</v>
      </c>
      <c r="Y24" s="66">
        <f t="shared" si="5"/>
        <v>0.3</v>
      </c>
    </row>
    <row r="25" spans="2:25">
      <c r="B25" s="58"/>
      <c r="F25" s="58"/>
      <c r="L25" s="523"/>
      <c r="M25" s="80">
        <f>('Eingabe - Input'!$M$58*'Eingabe - Input'!$M$59)*N25</f>
        <v>1.3</v>
      </c>
      <c r="N25" s="82">
        <v>0.32500000000000001</v>
      </c>
      <c r="O25" s="60">
        <f t="shared" si="0"/>
        <v>0.99999999973283393</v>
      </c>
      <c r="P25" s="60">
        <f t="shared" si="1"/>
        <v>3.5007412498575508E-6</v>
      </c>
      <c r="R25" s="60">
        <f t="shared" si="2"/>
        <v>3.8754863517247995E-2</v>
      </c>
      <c r="S25" s="70">
        <f t="shared" si="3"/>
        <v>5.8435274210539657E-2</v>
      </c>
      <c r="U25" s="81">
        <f t="shared" si="4"/>
        <v>0.109470120094089</v>
      </c>
      <c r="W25" s="60">
        <f>(((('Eingabe - Input'!$M$57)/100)*(2*('Eingabe - Input'!$M$59)*100)^4)/('Schnittgrößen (g,T)'!$C$8))*(R25-$I$46*S25)</f>
        <v>0.56473106510180415</v>
      </c>
      <c r="X25" s="60">
        <f>('Schnittgrößen (g,T)'!$C$47*100)*(2*100*'Eingabe - Input'!$M$59)^2/(1+'Schnittgrößen (g,T)'!$C$11)*(U25-$I$49*S25)</f>
        <v>-0.19944017098354525</v>
      </c>
      <c r="Y25" s="66">
        <f t="shared" si="5"/>
        <v>0.32500000000000001</v>
      </c>
    </row>
    <row r="26" spans="2:25">
      <c r="B26" s="58"/>
      <c r="C26" s="84"/>
      <c r="F26" s="58"/>
      <c r="L26" s="523"/>
      <c r="M26" s="80">
        <f>('Eingabe - Input'!$M$58*'Eingabe - Input'!$M$59)*N26</f>
        <v>1.4</v>
      </c>
      <c r="N26" s="82">
        <v>0.35</v>
      </c>
      <c r="O26" s="60">
        <f t="shared" si="0"/>
        <v>0.99999999995097921</v>
      </c>
      <c r="P26" s="60">
        <f t="shared" si="1"/>
        <v>1.9079256182706492E-5</v>
      </c>
      <c r="R26" s="60">
        <f t="shared" si="2"/>
        <v>4.0269277598976763E-2</v>
      </c>
      <c r="S26" s="70">
        <f t="shared" si="3"/>
        <v>6.243805087666221E-2</v>
      </c>
      <c r="U26" s="81">
        <f t="shared" si="4"/>
        <v>0.11353262009404157</v>
      </c>
      <c r="W26" s="60">
        <f>(((('Eingabe - Input'!$M$57)/100)*(2*('Eingabe - Input'!$M$59)*100)^4)/('Schnittgrößen (g,T)'!$C$8))*(R26-$I$46*S26)</f>
        <v>0.51218901330412858</v>
      </c>
      <c r="X26" s="60">
        <f>('Schnittgrößen (g,T)'!$C$47*100)*(2*100*'Eingabe - Input'!$M$59)^2/(1+'Schnittgrößen (g,T)'!$C$11)*(U26-$I$49*S26)</f>
        <v>-0.17979352058511405</v>
      </c>
      <c r="Y26" s="66">
        <f t="shared" si="5"/>
        <v>0.35</v>
      </c>
    </row>
    <row r="27" spans="2:25">
      <c r="B27" s="58"/>
      <c r="F27" s="58"/>
      <c r="L27" s="523"/>
      <c r="M27" s="80">
        <f>('Eingabe - Input'!$M$58*'Eingabe - Input'!$M$59)*N27</f>
        <v>1.5</v>
      </c>
      <c r="N27" s="82">
        <v>0.375</v>
      </c>
      <c r="O27" s="60">
        <f t="shared" si="0"/>
        <v>0.99999999999100542</v>
      </c>
      <c r="P27" s="60">
        <f t="shared" si="1"/>
        <v>1.0398312543098087E-4</v>
      </c>
      <c r="R27" s="60">
        <f t="shared" si="2"/>
        <v>4.1555001773909028E-2</v>
      </c>
      <c r="S27" s="70">
        <f t="shared" si="3"/>
        <v>6.6331194758108766E-2</v>
      </c>
      <c r="U27" s="81">
        <f t="shared" si="4"/>
        <v>0.11697012009403288</v>
      </c>
      <c r="W27" s="60">
        <f>(((('Eingabe - Input'!$M$57)/100)*(2*('Eingabe - Input'!$M$59)*100)^4)/('Schnittgrößen (g,T)'!$C$8))*(R27-$I$46*S27)</f>
        <v>0.44610842826712549</v>
      </c>
      <c r="X27" s="60">
        <f>('Schnittgrößen (g,T)'!$C$47*100)*(2*100*'Eingabe - Input'!$M$59)^2/(1+'Schnittgrößen (g,T)'!$C$11)*(U27-$I$49*S27)</f>
        <v>-0.15570511264027634</v>
      </c>
      <c r="Y27" s="66">
        <f t="shared" si="5"/>
        <v>0.375</v>
      </c>
    </row>
    <row r="28" spans="2:25">
      <c r="B28" s="58"/>
      <c r="F28" s="58"/>
      <c r="L28" s="523"/>
      <c r="M28" s="80">
        <f>('Eingabe - Input'!$M$58*'Eingabe - Input'!$M$59)*N28</f>
        <v>1.6</v>
      </c>
      <c r="N28" s="82">
        <v>0.4</v>
      </c>
      <c r="O28" s="60">
        <f t="shared" si="0"/>
        <v>0.99999999999834965</v>
      </c>
      <c r="P28" s="60">
        <f t="shared" si="1"/>
        <v>5.6671446050373503E-4</v>
      </c>
      <c r="R28" s="60">
        <f t="shared" si="2"/>
        <v>4.2609887604536816E-2</v>
      </c>
      <c r="S28" s="70">
        <f t="shared" si="3"/>
        <v>7.0105746197138177E-2</v>
      </c>
      <c r="U28" s="81">
        <f t="shared" si="4"/>
        <v>0.11978262009403128</v>
      </c>
      <c r="W28" s="60">
        <f>(((('Eingabe - Input'!$M$57)/100)*(2*('Eingabe - Input'!$M$59)*100)^4)/('Schnittgrößen (g,T)'!$C$8))*(R28-$I$46*S28)</f>
        <v>0.36670623214738035</v>
      </c>
      <c r="X28" s="60">
        <f>('Schnittgrößen (g,T)'!$C$47*100)*(2*100*'Eingabe - Input'!$M$59)^2/(1+'Schnittgrößen (g,T)'!$C$11)*(U28-$I$49*S28)</f>
        <v>-0.12730706986319376</v>
      </c>
      <c r="Y28" s="66">
        <f t="shared" si="5"/>
        <v>0.4</v>
      </c>
    </row>
    <row r="29" spans="2:25">
      <c r="B29" s="58"/>
      <c r="D29" s="60">
        <f>(COSH($D$7)-COSH(($D$5*(1-2*$D$44))/2))/COSH($D$7)</f>
        <v>0.9999999567500385</v>
      </c>
      <c r="F29" s="58"/>
      <c r="L29" s="523"/>
      <c r="M29" s="80">
        <f>('Eingabe - Input'!$M$58*'Eingabe - Input'!$M$59)*N29</f>
        <v>1.7</v>
      </c>
      <c r="N29" s="82">
        <v>0.42499999999999999</v>
      </c>
      <c r="O29" s="60">
        <f t="shared" si="0"/>
        <v>0.99999999999969724</v>
      </c>
      <c r="P29" s="60">
        <f t="shared" si="1"/>
        <v>3.0886288367742215E-3</v>
      </c>
      <c r="R29" s="60">
        <f t="shared" si="2"/>
        <v>4.3432177278358672E-2</v>
      </c>
      <c r="S29" s="70">
        <f t="shared" si="3"/>
        <v>7.3747640613158597E-2</v>
      </c>
      <c r="U29" s="81">
        <f t="shared" si="4"/>
        <v>0.12197012009403098</v>
      </c>
      <c r="W29" s="60">
        <f>(((('Eingabe - Input'!$M$57)/100)*(2*('Eingabe - Input'!$M$59)*100)^4)/('Schnittgrößen (g,T)'!$C$8))*(R29-$I$46*S29)</f>
        <v>0.27445212725447887</v>
      </c>
      <c r="X29" s="60">
        <f>('Schnittgrößen (g,T)'!$C$47*100)*(2*100*'Eingabe - Input'!$M$59)^2/(1+'Schnittgrößen (g,T)'!$C$11)*(U29-$I$49*S29)</f>
        <v>-9.4806794212606765E-2</v>
      </c>
      <c r="Y29" s="66">
        <f t="shared" si="5"/>
        <v>0.42499999999999999</v>
      </c>
    </row>
    <row r="30" spans="2:25">
      <c r="B30" s="58"/>
      <c r="F30" s="58"/>
      <c r="L30" s="523"/>
      <c r="M30" s="80">
        <f>('Eingabe - Input'!$M$58*'Eingabe - Input'!$M$59)*N30</f>
        <v>1.8</v>
      </c>
      <c r="N30" s="73">
        <v>0.45</v>
      </c>
      <c r="O30" s="60">
        <f t="shared" si="0"/>
        <v>0.99999999999994438</v>
      </c>
      <c r="P30" s="60">
        <f t="shared" si="1"/>
        <v>1.6833218059891804E-2</v>
      </c>
      <c r="R30" s="60">
        <f t="shared" si="2"/>
        <v>4.402050360787433E-2</v>
      </c>
      <c r="S30" s="70">
        <f t="shared" si="3"/>
        <v>7.7214991280520992E-2</v>
      </c>
      <c r="U30" s="81">
        <f t="shared" si="4"/>
        <v>0.12353262009403095</v>
      </c>
      <c r="W30" s="60">
        <f>(((('Eingabe - Input'!$M$57)/100)*(2*('Eingabe - Input'!$M$59)*100)^4)/('Schnittgrößen (g,T)'!$C$8))*(R30-$I$46*S30)</f>
        <v>0.17105441233048296</v>
      </c>
      <c r="X30" s="60">
        <f>('Schnittgrößen (g,T)'!$C$47*100)*(2*100*'Eingabe - Input'!$M$59)^2/(1+'Schnittgrößen (g,T)'!$C$11)*(U30-$I$49*S30)</f>
        <v>-5.8821964181684283E-2</v>
      </c>
      <c r="Y30" s="66">
        <f t="shared" si="5"/>
        <v>0.45</v>
      </c>
    </row>
    <row r="31" spans="2:25">
      <c r="B31" s="58"/>
      <c r="F31" s="58"/>
      <c r="L31" s="523"/>
      <c r="M31" s="80">
        <f>('Eingabe - Input'!$M$58*'Eingabe - Input'!$M$59)*N31</f>
        <v>1.9</v>
      </c>
      <c r="N31" s="82">
        <v>0.47499999999999998</v>
      </c>
      <c r="O31" s="60">
        <f t="shared" si="0"/>
        <v>0.99999999999998945</v>
      </c>
      <c r="P31" s="60">
        <f t="shared" si="1"/>
        <v>9.1742078840332975E-2</v>
      </c>
      <c r="R31" s="60">
        <f t="shared" si="2"/>
        <v>4.4373890030583722E-2</v>
      </c>
      <c r="S31" s="70">
        <f t="shared" si="3"/>
        <v>8.0314279063405783E-2</v>
      </c>
      <c r="U31" s="81">
        <f t="shared" si="4"/>
        <v>0.12447012009403091</v>
      </c>
      <c r="W31" s="60">
        <f>(((('Eingabe - Input'!$M$57)/100)*(2*('Eingabe - Input'!$M$59)*100)^4)/('Schnittgrößen (g,T)'!$C$8))*(R31-$I$46*S31)</f>
        <v>6.4832742205870653E-2</v>
      </c>
      <c r="X31" s="60">
        <f>('Schnittgrößen (g,T)'!$C$47*100)*(2*100*'Eingabe - Input'!$M$59)^2/(1+'Schnittgrößen (g,T)'!$C$11)*(U31-$I$49*S31)</f>
        <v>-2.2206290734034434E-2</v>
      </c>
      <c r="Y31" s="66">
        <f t="shared" si="5"/>
        <v>0.47499999999999998</v>
      </c>
    </row>
    <row r="32" spans="2:25">
      <c r="L32" s="523"/>
      <c r="M32" s="83">
        <f>('Eingabe - Input'!$M$58*'Eingabe - Input'!$M$59)*N32</f>
        <v>2</v>
      </c>
      <c r="N32" s="85">
        <v>0.5</v>
      </c>
      <c r="O32" s="60">
        <f t="shared" si="0"/>
        <v>0.99999999999999623</v>
      </c>
      <c r="P32" s="60">
        <f t="shared" si="1"/>
        <v>0.5</v>
      </c>
      <c r="R32" s="60">
        <f t="shared" si="2"/>
        <v>4.4491750608986858E-2</v>
      </c>
      <c r="S32" s="70">
        <f t="shared" si="3"/>
        <v>8.2025578818590905E-2</v>
      </c>
      <c r="U32" s="81">
        <f t="shared" si="4"/>
        <v>0.12478262009403092</v>
      </c>
      <c r="W32" s="60">
        <f>(((('Eingabe - Input'!$M$57)/100)*(2*('Eingabe - Input'!$M$59)*100)^4)/('Schnittgrößen (g,T)'!$C$8))*(R32-$I$46*S32)</f>
        <v>0</v>
      </c>
      <c r="X32" s="60">
        <f>('Schnittgrößen (g,T)'!$C$47*100)*(2*100*'Eingabe - Input'!$M$59)^2/(1+'Schnittgrößen (g,T)'!$C$11)*(U32-$I$49*S32)</f>
        <v>0</v>
      </c>
      <c r="Y32" s="66">
        <f>N32</f>
        <v>0.5</v>
      </c>
    </row>
    <row r="33" spans="3:24">
      <c r="L33" s="71"/>
      <c r="M33" s="80"/>
      <c r="N33" s="82"/>
    </row>
    <row r="34" spans="3:24">
      <c r="D34" s="60">
        <f>((SINH($D$7))^2)/SINH($D$5)</f>
        <v>0.5</v>
      </c>
      <c r="L34" s="71"/>
      <c r="M34" s="80"/>
      <c r="N34" s="82"/>
    </row>
    <row r="35" spans="3:24">
      <c r="L35" s="71"/>
      <c r="M35" s="80"/>
      <c r="N35" s="82"/>
    </row>
    <row r="36" spans="3:24">
      <c r="L36" s="71"/>
      <c r="M36" s="80"/>
      <c r="N36" s="73"/>
      <c r="V36" s="61" t="s">
        <v>191</v>
      </c>
      <c r="W36" s="60">
        <f>MAX($W$12:$W$32)</f>
        <v>0.63986324266330674</v>
      </c>
      <c r="X36" s="60">
        <f>MAX($X$12:$X$32)</f>
        <v>0</v>
      </c>
    </row>
    <row r="37" spans="3:24">
      <c r="L37" s="71"/>
      <c r="M37" s="80"/>
      <c r="N37" s="82"/>
      <c r="V37" s="61" t="s">
        <v>215</v>
      </c>
      <c r="W37" s="60">
        <f>MIN($W$12:$W$32)</f>
        <v>0</v>
      </c>
      <c r="X37" s="60">
        <f>MIN($X$12:$X$32)</f>
        <v>-0.23127028352862708</v>
      </c>
    </row>
    <row r="38" spans="3:24" ht="14.25">
      <c r="D38" s="60">
        <f>(SINH($D$7)*SINH($D$5*$D$44))/SINH($D$5)</f>
        <v>2.1624980748790079E-8</v>
      </c>
      <c r="L38" s="71"/>
      <c r="M38" s="80"/>
      <c r="N38" s="82"/>
      <c r="V38" s="61" t="s">
        <v>192</v>
      </c>
      <c r="W38" s="60">
        <f>VLOOKUP(MAX(W12:W32),W12:Y32,3,FALSE)</f>
        <v>0.25</v>
      </c>
      <c r="X38" s="60">
        <f>VLOOKUP(MAX(X12:X32),X12:Y32,2,FALSE)</f>
        <v>0</v>
      </c>
    </row>
    <row r="39" spans="3:24" ht="14.25">
      <c r="L39" s="71"/>
      <c r="M39" s="80"/>
      <c r="N39" s="73"/>
      <c r="V39" s="61" t="s">
        <v>216</v>
      </c>
      <c r="W39" s="60">
        <f>VLOOKUP(MIN(W12:W32),W12:Y32,3,FALSE)</f>
        <v>0</v>
      </c>
      <c r="X39" s="60">
        <f>VLOOKUP(MIN(X12:X32),X12:Y32,2,FALSE)</f>
        <v>0.22500000000000001</v>
      </c>
    </row>
    <row r="40" spans="3:24">
      <c r="L40" s="71"/>
      <c r="M40" s="80"/>
      <c r="N40" s="82"/>
    </row>
    <row r="41" spans="3:24">
      <c r="L41" s="71"/>
      <c r="M41" s="80"/>
      <c r="N41" s="82"/>
    </row>
    <row r="42" spans="3:24">
      <c r="H42" s="86" t="s">
        <v>104</v>
      </c>
      <c r="I42" s="86" t="s">
        <v>101</v>
      </c>
      <c r="J42" s="86"/>
      <c r="K42" s="86"/>
      <c r="L42" s="71"/>
      <c r="M42" s="80"/>
      <c r="N42" s="82"/>
    </row>
    <row r="43" spans="3:24">
      <c r="L43" s="71"/>
      <c r="M43" s="80"/>
      <c r="N43" s="82"/>
    </row>
    <row r="44" spans="3:24">
      <c r="C44" s="87" t="s">
        <v>195</v>
      </c>
      <c r="D44" s="76">
        <v>0.25</v>
      </c>
      <c r="L44" s="71"/>
      <c r="M44" s="80"/>
      <c r="N44" s="82"/>
    </row>
    <row r="45" spans="3:24">
      <c r="C45" s="72"/>
      <c r="D45" s="88"/>
      <c r="L45" s="71"/>
      <c r="M45" s="80"/>
      <c r="N45" s="73"/>
    </row>
    <row r="46" spans="3:24" ht="12.75" customHeight="1">
      <c r="C46" s="72" t="s">
        <v>153</v>
      </c>
      <c r="D46" s="88">
        <f>I46</f>
        <v>0.54241312587852053</v>
      </c>
      <c r="I46" s="81">
        <f>(1/76.8+(1/8*$D$13)-($D$19*$D$24))/(1/48+0.25*$D$13-($D$16*$D$34))</f>
        <v>0.54241312587852053</v>
      </c>
      <c r="J46" s="81"/>
      <c r="K46" s="81"/>
      <c r="L46" s="71"/>
      <c r="M46" s="89"/>
      <c r="N46" s="82"/>
    </row>
    <row r="47" spans="3:24" ht="12.75" customHeight="1">
      <c r="C47" s="72" t="s">
        <v>154</v>
      </c>
      <c r="D47" s="88">
        <f>I47</f>
        <v>3.2866825583544722E-2</v>
      </c>
      <c r="I47" s="60">
        <f>1/24*$D$44*(1-2*$D$44^2+$D$44^3)+(1/2*$D$13*$D$44*(1-$D$44))-($D$19*$D$29)</f>
        <v>3.2866825583544722E-2</v>
      </c>
      <c r="L47" s="71"/>
      <c r="M47" s="80"/>
      <c r="N47" s="82"/>
    </row>
    <row r="48" spans="3:24" ht="12.75" customHeight="1">
      <c r="C48" s="72" t="s">
        <v>155</v>
      </c>
      <c r="D48" s="88">
        <f>I48</f>
        <v>4.5848658364174531E-2</v>
      </c>
      <c r="I48" s="70">
        <f>1/12*$D$44*(0.75-$D$44^2)+(1/2*$D$13*$D$44)-($D$16*$D$38)</f>
        <v>4.5848658364174531E-2</v>
      </c>
      <c r="J48" s="70"/>
      <c r="K48" s="70"/>
      <c r="L48" s="71"/>
      <c r="M48" s="80"/>
      <c r="N48" s="82"/>
    </row>
    <row r="49" spans="2:14" ht="12.75" customHeight="1">
      <c r="C49" s="72" t="s">
        <v>179</v>
      </c>
      <c r="D49" s="88">
        <f>I49</f>
        <v>1.5212647309688869</v>
      </c>
      <c r="I49" s="60">
        <f>(1/8-($D$10*$D$24))/(1/48+0.25*$D$13-($D$16*$D$34))</f>
        <v>1.5212647309688869</v>
      </c>
      <c r="L49" s="71"/>
      <c r="M49" s="80"/>
      <c r="N49" s="82"/>
    </row>
    <row r="50" spans="2:14" ht="12.75" customHeight="1">
      <c r="C50" s="72" t="s">
        <v>162</v>
      </c>
      <c r="D50" s="88">
        <f>I50</f>
        <v>9.3532620103432593E-2</v>
      </c>
      <c r="I50" s="81">
        <f>1/2*$D$44*(1-$D$44)-($D$10*$D$29)</f>
        <v>9.3532620103432593E-2</v>
      </c>
      <c r="J50" s="81"/>
      <c r="K50" s="81"/>
      <c r="L50" s="71"/>
      <c r="M50" s="80"/>
      <c r="N50" s="82"/>
    </row>
    <row r="51" spans="2:14">
      <c r="L51" s="71"/>
      <c r="M51" s="80"/>
      <c r="N51" s="73"/>
    </row>
    <row r="52" spans="2:14">
      <c r="B52" s="90" t="s">
        <v>181</v>
      </c>
      <c r="L52" s="71"/>
      <c r="M52" s="80"/>
      <c r="N52" s="82"/>
    </row>
    <row r="53" spans="2:14" ht="14.25">
      <c r="B53" s="60" t="s">
        <v>57</v>
      </c>
      <c r="C53" s="61" t="s">
        <v>194</v>
      </c>
      <c r="D53" s="91">
        <f>IF('Eingabe - Input'!$M$58=1,H53,IF('Eingabe - Input'!$M$58=2,I53,""))</f>
        <v>0.63986324266330674</v>
      </c>
      <c r="E53" s="60" t="s">
        <v>103</v>
      </c>
      <c r="F53" s="60" t="s">
        <v>180</v>
      </c>
      <c r="H53" s="92">
        <f>'Schnittgrößen (gt)'!C33/100*((100*'Eingabe - Input'!$M$59)^4)/'Schnittgrößen (g,T)'!$C$8*((5/384)+((1/(8*'Schnittgrößen (g,T)'!$C$11*('Schnittgrößen (gt)'!C14^2))*(1-(8*'Schnittgrößen (gt)'!C15/('Schnittgrößen (gt)'!C14^2))))))</f>
        <v>0.69126580249535174</v>
      </c>
      <c r="I53" s="60">
        <f>(((('Eingabe - Input'!$M$57)/100)*(2*('Eingabe - Input'!$M$59)*100)^4)/('Schnittgrößen (g,T)'!$C$8))*($I$47-$I$46*$I$48)</f>
        <v>0.63986324266330674</v>
      </c>
      <c r="N53" s="82"/>
    </row>
    <row r="54" spans="2:14" ht="15.75">
      <c r="C54" s="61" t="s">
        <v>193</v>
      </c>
      <c r="D54" s="91">
        <f>IF('Eingabe - Input'!$M$58=1,H54,IF('Eingabe - Input'!$M$58=2,I54,""))</f>
        <v>0.63986324266330674</v>
      </c>
      <c r="E54" s="60" t="s">
        <v>103</v>
      </c>
      <c r="H54" s="92">
        <f>H53</f>
        <v>0.69126580249535174</v>
      </c>
      <c r="I54" s="60">
        <f>IF(ABS(W36)&gt;ABS(W37),W36,W37)</f>
        <v>0.63986324266330674</v>
      </c>
      <c r="N54" s="82"/>
    </row>
    <row r="55" spans="2:14" ht="15.75">
      <c r="B55" s="93" t="s">
        <v>198</v>
      </c>
      <c r="C55" s="87" t="s">
        <v>196</v>
      </c>
      <c r="D55" s="94">
        <f>IF('Eingabe - Input'!$M$58=1,H55,IF('Eingabe - Input'!$M$58=2,I55,""))</f>
        <v>0.5</v>
      </c>
      <c r="E55" s="70" t="s">
        <v>108</v>
      </c>
      <c r="H55" s="95">
        <v>0.5</v>
      </c>
      <c r="I55" s="60">
        <f>IF(ABS(W36)&gt;ABS(W37),W38*2,W39*2)</f>
        <v>0.5</v>
      </c>
      <c r="N55" s="82"/>
    </row>
    <row r="56" spans="2:14">
      <c r="C56" s="87"/>
      <c r="D56" s="91"/>
      <c r="E56" s="70"/>
      <c r="H56" s="95"/>
      <c r="N56" s="82"/>
    </row>
  </sheetData>
  <dataConsolidate function="max"/>
  <mergeCells count="1">
    <mergeCell ref="L12:L32"/>
  </mergeCells>
  <pageMargins left="0.7" right="0.7" top="0.78740157499999996" bottom="0.78740157499999996" header="0.3" footer="0.3"/>
  <pageSetup paperSize="9" scale="51" orientation="portrait" r:id="rId1"/>
  <colBreaks count="2" manualBreakCount="2">
    <brk id="7" max="59" man="1"/>
    <brk id="10" max="59" man="1"/>
  </colBreaks>
  <drawing r:id="rId2"/>
  <legacyDrawing r:id="rId3"/>
  <oleObjects>
    <mc:AlternateContent xmlns:mc="http://schemas.openxmlformats.org/markup-compatibility/2006">
      <mc:Choice Requires="x14">
        <oleObject progId="Equation.3" shapeId="17409" r:id="rId4">
          <objectPr defaultSize="0" autoPict="0" r:id="rId5">
            <anchor moveWithCells="1">
              <from>
                <xdr:col>1</xdr:col>
                <xdr:colOff>390525</xdr:colOff>
                <xdr:row>4</xdr:row>
                <xdr:rowOff>38100</xdr:rowOff>
              </from>
              <to>
                <xdr:col>1</xdr:col>
                <xdr:colOff>495300</xdr:colOff>
                <xdr:row>5</xdr:row>
                <xdr:rowOff>76200</xdr:rowOff>
              </to>
            </anchor>
          </objectPr>
        </oleObject>
      </mc:Choice>
      <mc:Fallback>
        <oleObject progId="Equation.3" shapeId="17409" r:id="rId4"/>
      </mc:Fallback>
    </mc:AlternateContent>
    <mc:AlternateContent xmlns:mc="http://schemas.openxmlformats.org/markup-compatibility/2006">
      <mc:Choice Requires="x14">
        <oleObject progId="Equation.3" shapeId="17410" r:id="rId6">
          <objectPr defaultSize="0" autoPict="0" r:id="rId7">
            <anchor moveWithCells="1">
              <from>
                <xdr:col>1</xdr:col>
                <xdr:colOff>333375</xdr:colOff>
                <xdr:row>5</xdr:row>
                <xdr:rowOff>161925</xdr:rowOff>
              </from>
              <to>
                <xdr:col>1</xdr:col>
                <xdr:colOff>476250</xdr:colOff>
                <xdr:row>6</xdr:row>
                <xdr:rowOff>161925</xdr:rowOff>
              </to>
            </anchor>
          </objectPr>
        </oleObject>
      </mc:Choice>
      <mc:Fallback>
        <oleObject progId="Equation.3" shapeId="17410" r:id="rId6"/>
      </mc:Fallback>
    </mc:AlternateContent>
    <mc:AlternateContent xmlns:mc="http://schemas.openxmlformats.org/markup-compatibility/2006">
      <mc:Choice Requires="x14">
        <oleObject progId="Equation.3" shapeId="17411" r:id="rId8">
          <objectPr defaultSize="0" autoPict="0" r:id="rId9">
            <anchor moveWithCells="1">
              <from>
                <xdr:col>1</xdr:col>
                <xdr:colOff>333375</xdr:colOff>
                <xdr:row>7</xdr:row>
                <xdr:rowOff>85725</xdr:rowOff>
              </from>
              <to>
                <xdr:col>1</xdr:col>
                <xdr:colOff>466725</xdr:colOff>
                <xdr:row>8</xdr:row>
                <xdr:rowOff>95250</xdr:rowOff>
              </to>
            </anchor>
          </objectPr>
        </oleObject>
      </mc:Choice>
      <mc:Fallback>
        <oleObject progId="Equation.3" shapeId="17411" r:id="rId8"/>
      </mc:Fallback>
    </mc:AlternateContent>
    <mc:AlternateContent xmlns:mc="http://schemas.openxmlformats.org/markup-compatibility/2006">
      <mc:Choice Requires="x14">
        <oleObject progId="Equation.3" shapeId="17412" r:id="rId10">
          <objectPr defaultSize="0" autoPict="0" r:id="rId11">
            <anchor moveWithCells="1">
              <from>
                <xdr:col>1</xdr:col>
                <xdr:colOff>352425</xdr:colOff>
                <xdr:row>9</xdr:row>
                <xdr:rowOff>19050</xdr:rowOff>
              </from>
              <to>
                <xdr:col>1</xdr:col>
                <xdr:colOff>495300</xdr:colOff>
                <xdr:row>10</xdr:row>
                <xdr:rowOff>19050</xdr:rowOff>
              </to>
            </anchor>
          </objectPr>
        </oleObject>
      </mc:Choice>
      <mc:Fallback>
        <oleObject progId="Equation.3" shapeId="17412" r:id="rId10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B2:Y56"/>
  <sheetViews>
    <sheetView view="pageBreakPreview" topLeftCell="G1" zoomScale="85" zoomScaleNormal="100" zoomScaleSheetLayoutView="85" workbookViewId="0">
      <selection activeCell="S13" sqref="S13"/>
    </sheetView>
  </sheetViews>
  <sheetFormatPr baseColWidth="10" defaultRowHeight="12.75"/>
  <cols>
    <col min="1" max="1" width="11.42578125" style="60"/>
    <col min="2" max="2" width="14" style="60" customWidth="1"/>
    <col min="3" max="3" width="11.42578125" style="60"/>
    <col min="4" max="4" width="12.5703125" style="60" bestFit="1" customWidth="1"/>
    <col min="5" max="5" width="11.42578125" style="60"/>
    <col min="6" max="6" width="42" style="60" customWidth="1"/>
    <col min="7" max="7" width="41.140625" style="60" customWidth="1"/>
    <col min="8" max="8" width="12.5703125" style="60" customWidth="1"/>
    <col min="9" max="9" width="13.140625" style="60" customWidth="1"/>
    <col min="10" max="11" width="13" style="60" customWidth="1"/>
    <col min="12" max="12" width="4.5703125" style="60" customWidth="1"/>
    <col min="13" max="13" width="13.140625" style="60" bestFit="1" customWidth="1"/>
    <col min="14" max="15" width="11.5703125" style="60" bestFit="1" customWidth="1"/>
    <col min="16" max="16" width="12.5703125" style="60" bestFit="1" customWidth="1"/>
    <col min="17" max="17" width="7.85546875" style="60" customWidth="1"/>
    <col min="18" max="19" width="11.5703125" style="60" bestFit="1" customWidth="1"/>
    <col min="20" max="20" width="7.7109375" style="60" customWidth="1"/>
    <col min="21" max="21" width="11.5703125" style="60" bestFit="1" customWidth="1"/>
    <col min="22" max="22" width="8.28515625" style="60" customWidth="1"/>
    <col min="23" max="24" width="13.140625" style="60" bestFit="1" customWidth="1"/>
    <col min="25" max="25" width="11.5703125" style="60" bestFit="1" customWidth="1"/>
    <col min="26" max="16384" width="11.42578125" style="60"/>
  </cols>
  <sheetData>
    <row r="2" spans="2:25">
      <c r="B2" s="58" t="s">
        <v>178</v>
      </c>
      <c r="F2" s="58" t="s">
        <v>1</v>
      </c>
    </row>
    <row r="3" spans="2:25">
      <c r="B3" s="58"/>
      <c r="F3" s="58"/>
    </row>
    <row r="4" spans="2:25">
      <c r="B4" s="58"/>
      <c r="C4" s="72" t="s">
        <v>42</v>
      </c>
      <c r="D4" s="60">
        <f>'Schnittgrößen (g,T)'!$C$5/('Schnittgrößen (st)'!$C$3/10*'Schnittgrößen (g,T)'!$C$4*(2*100*'Eingabe - Input'!$M$59)^2)</f>
        <v>0.10727990850496434</v>
      </c>
      <c r="F4" s="58"/>
    </row>
    <row r="5" spans="2:25">
      <c r="B5" s="58"/>
      <c r="C5" s="72" t="s">
        <v>105</v>
      </c>
      <c r="D5" s="60">
        <f>SQRT((1+'Schnittgrößen (g,T)'!$C$11)/('Schnittgrößen (g,T)'!$C$11*$D$4))</f>
        <v>104.03892034563202</v>
      </c>
      <c r="F5" s="58"/>
    </row>
    <row r="6" spans="2:25">
      <c r="B6" s="58"/>
      <c r="F6" s="58"/>
    </row>
    <row r="7" spans="2:25">
      <c r="B7" s="58"/>
      <c r="D7" s="60">
        <f>$D$5/2</f>
        <v>52.019460172816011</v>
      </c>
      <c r="F7" s="58"/>
    </row>
    <row r="8" spans="2:25">
      <c r="B8" s="58"/>
      <c r="F8" s="58"/>
    </row>
    <row r="9" spans="2:25">
      <c r="B9" s="58"/>
      <c r="F9" s="58"/>
    </row>
    <row r="10" spans="2:25">
      <c r="B10" s="58"/>
      <c r="D10" s="60">
        <f>1/(($D$5)^2)</f>
        <v>9.2386460036860879E-5</v>
      </c>
      <c r="F10" s="75"/>
    </row>
    <row r="11" spans="2:25" ht="15.75">
      <c r="B11" s="58"/>
      <c r="F11" s="58"/>
      <c r="M11" s="76" t="s">
        <v>184</v>
      </c>
      <c r="N11" s="77" t="s">
        <v>184</v>
      </c>
      <c r="O11" s="76" t="s">
        <v>183</v>
      </c>
      <c r="P11" s="76" t="s">
        <v>185</v>
      </c>
      <c r="Q11" s="78"/>
      <c r="R11" s="78" t="s">
        <v>188</v>
      </c>
      <c r="S11" s="78" t="s">
        <v>187</v>
      </c>
      <c r="T11" s="78"/>
      <c r="U11" s="78" t="s">
        <v>186</v>
      </c>
      <c r="V11" s="78"/>
      <c r="W11" s="79" t="s">
        <v>189</v>
      </c>
      <c r="X11" s="78" t="s">
        <v>190</v>
      </c>
      <c r="Y11" s="77" t="s">
        <v>184</v>
      </c>
    </row>
    <row r="12" spans="2:25" ht="12.75" customHeight="1">
      <c r="B12" s="58"/>
      <c r="F12" s="58"/>
      <c r="L12" s="522" t="s">
        <v>197</v>
      </c>
      <c r="M12" s="80">
        <f>('Eingabe - Input'!$M$58*'Eingabe - Input'!$M$59)*N12</f>
        <v>0</v>
      </c>
      <c r="N12" s="73">
        <v>0</v>
      </c>
      <c r="O12" s="60">
        <f>(COSH($D$7)-COSH(($D$5*(1-2*N12))/2))/COSH($D$7)</f>
        <v>0</v>
      </c>
      <c r="P12" s="60">
        <f>(SINH($D$7)*SINH($D$5*N12))/SINH($D$5)</f>
        <v>0</v>
      </c>
      <c r="Q12" s="81"/>
      <c r="R12" s="60">
        <f>1/24*N12*(1-2*N12^2+N12^3)+(1/2*$D$13*N12*(1-N12))-($D$19*O12)</f>
        <v>0</v>
      </c>
      <c r="S12" s="70">
        <f>1/12*N12*(0.75-N12^2)+(1/2*$D$13*N12)-($D$16*P12)</f>
        <v>0</v>
      </c>
      <c r="U12" s="81">
        <f>1/2*N12*(1-N12)-($D$10*O12)</f>
        <v>0</v>
      </c>
      <c r="W12" s="60">
        <f>(((('Eingabe - Input'!$M$57)/100)*(2*('Eingabe - Input'!$M$59)*100)^4)/('Schnittgrößen (g,T)'!$C$8))*(R12-$I$46*S12)</f>
        <v>0</v>
      </c>
      <c r="X12" s="60">
        <f>('Schnittgrößen (g,T)'!$C$47*100)*(2*100*'Eingabe - Input'!$M$59)^2/(1+'Schnittgrößen (g,T)'!$C$11)*(U12-$I$49*S12)</f>
        <v>0</v>
      </c>
      <c r="Y12" s="66">
        <f>N12</f>
        <v>0</v>
      </c>
    </row>
    <row r="13" spans="2:25">
      <c r="B13" s="58"/>
      <c r="D13" s="60">
        <f>1/('Schnittgrößen (g,T)'!$C$11*($D$5)^2)</f>
        <v>0.10718752204492746</v>
      </c>
      <c r="F13" s="58"/>
      <c r="L13" s="523"/>
      <c r="M13" s="80">
        <f>('Eingabe - Input'!$M$58*'Eingabe - Input'!$M$59)*N13</f>
        <v>0.1</v>
      </c>
      <c r="N13" s="82">
        <v>2.5000000000000001E-2</v>
      </c>
      <c r="O13" s="60">
        <f t="shared" ref="O13:O32" si="0">(COSH($D$7)-COSH(($D$5*(1-2*N13))/2))/COSH($D$7)</f>
        <v>0.92579865547135276</v>
      </c>
      <c r="P13" s="60">
        <f t="shared" ref="P13:P32" si="1">(SINH($D$7)*SINH($D$5*N13))/SINH($D$5)</f>
        <v>1.7155206981251192E-22</v>
      </c>
      <c r="R13" s="60">
        <f t="shared" ref="R13:R32" si="2">1/24*N13*(1-2*N13^2+N13^3)+(1/2*$D$13*N13*(1-N13))-($D$19*O13)</f>
        <v>2.3375609004286924E-3</v>
      </c>
      <c r="S13" s="70">
        <f t="shared" ref="S13:S32" si="3">1/12*N13*(0.75-N13^2)+(1/2*$D$13*N13)-($D$16*P13)</f>
        <v>2.9010419422282599E-3</v>
      </c>
      <c r="U13" s="81">
        <f t="shared" ref="U13:U32" si="4">1/2*N13*(1-N13)-($D$10*O13)</f>
        <v>1.2101968739514116E-2</v>
      </c>
      <c r="W13" s="60">
        <f>(((('Eingabe - Input'!$M$61)/100)*(2*('Eingabe - Input'!$M$59)*100)^4)/('Schnittgrößen (g,T)'!$C$8))*(R13-$I$46*S13)</f>
        <v>7.3993546723617562E-2</v>
      </c>
      <c r="X13" s="60">
        <f>('Schnittgrößen (g,T)'!$C$47*100)*(2*100*'Eingabe - Input'!$M$59)^2/(1+'Schnittgrößen (g,T)'!$C$11)*(U13-$I$49*S13)</f>
        <v>-4.2757763333754494E-2</v>
      </c>
      <c r="Y13" s="66">
        <f t="shared" ref="Y13:Y31" si="5">N13</f>
        <v>2.5000000000000001E-2</v>
      </c>
    </row>
    <row r="14" spans="2:25">
      <c r="B14" s="58"/>
      <c r="F14" s="58"/>
      <c r="L14" s="523"/>
      <c r="M14" s="80">
        <f>('Eingabe - Input'!$M$58*'Eingabe - Input'!$M$59)*N14</f>
        <v>0.2</v>
      </c>
      <c r="N14" s="82">
        <v>0.05</v>
      </c>
      <c r="O14" s="60">
        <f t="shared" si="0"/>
        <v>0.99449416047014105</v>
      </c>
      <c r="P14" s="60">
        <f t="shared" si="1"/>
        <v>2.3247100045918746E-21</v>
      </c>
      <c r="R14" s="60">
        <f t="shared" si="2"/>
        <v>4.609032578721947E-3</v>
      </c>
      <c r="S14" s="70">
        <f t="shared" si="3"/>
        <v>5.7942713844565206E-3</v>
      </c>
      <c r="U14" s="81">
        <f t="shared" si="4"/>
        <v>2.3658122204986833E-2</v>
      </c>
      <c r="W14" s="60">
        <f>(((('Eingabe - Input'!$M$61)/100)*(2*('Eingabe - Input'!$M$59)*100)^4)/('Schnittgrößen (g,T)'!$C$8))*(R14-$I$46*S14)</f>
        <v>0.14156894001143805</v>
      </c>
      <c r="X14" s="60">
        <f>('Schnittgrößen (g,T)'!$C$47*100)*(2*100*'Eingabe - Input'!$M$59)^2/(1+'Schnittgrößen (g,T)'!$C$11)*(U14-$I$49*S14)</f>
        <v>-8.0425428977918392E-2</v>
      </c>
      <c r="Y14" s="66">
        <f t="shared" si="5"/>
        <v>0.05</v>
      </c>
    </row>
    <row r="15" spans="2:25">
      <c r="B15" s="58"/>
      <c r="F15" s="58"/>
      <c r="L15" s="523"/>
      <c r="M15" s="80">
        <f>('Eingabe - Input'!$M$58*'Eingabe - Input'!$M$59)*N15</f>
        <v>0.3</v>
      </c>
      <c r="N15" s="82">
        <v>7.4999999999999997E-2</v>
      </c>
      <c r="O15" s="60">
        <f t="shared" si="0"/>
        <v>0.99959145930412541</v>
      </c>
      <c r="P15" s="60">
        <f t="shared" si="1"/>
        <v>3.1330700344605147E-20</v>
      </c>
      <c r="R15" s="60">
        <f t="shared" si="2"/>
        <v>6.7993306502325971E-3</v>
      </c>
      <c r="S15" s="70">
        <f t="shared" si="3"/>
        <v>8.6718758266847787E-3</v>
      </c>
      <c r="U15" s="81">
        <f t="shared" si="4"/>
        <v>3.4595151283591814E-2</v>
      </c>
      <c r="W15" s="60">
        <f>(((('Eingabe - Input'!$M$61)/100)*(2*('Eingabe - Input'!$M$59)*100)^4)/('Schnittgrößen (g,T)'!$C$8))*(R15-$I$46*S15)</f>
        <v>0.20161278092632573</v>
      </c>
      <c r="X15" s="60">
        <f>('Schnittgrößen (g,T)'!$C$47*100)*(2*100*'Eingabe - Input'!$M$59)^2/(1+'Schnittgrößen (g,T)'!$C$11)*(U15-$I$49*S15)</f>
        <v>-0.11249314463982314</v>
      </c>
      <c r="Y15" s="66">
        <f t="shared" si="5"/>
        <v>7.4999999999999997E-2</v>
      </c>
    </row>
    <row r="16" spans="2:25">
      <c r="B16" s="58"/>
      <c r="D16" s="60">
        <f>1/('Schnittgrößen (g,T)'!$C$11*($D$5)^3)</f>
        <v>1.0302636906345756E-3</v>
      </c>
      <c r="F16" s="58"/>
      <c r="L16" s="523"/>
      <c r="M16" s="80">
        <f>('Eingabe - Input'!$M$58*'Eingabe - Input'!$M$59)*N16</f>
        <v>0.4</v>
      </c>
      <c r="N16" s="82">
        <v>0.1</v>
      </c>
      <c r="O16" s="60">
        <f t="shared" si="0"/>
        <v>0.99996968573107148</v>
      </c>
      <c r="P16" s="60">
        <f t="shared" si="1"/>
        <v>4.2223905434738823E-19</v>
      </c>
      <c r="R16" s="60">
        <f t="shared" si="2"/>
        <v>8.9010361164922579E-3</v>
      </c>
      <c r="S16" s="70">
        <f t="shared" si="3"/>
        <v>1.1526042768913041E-2</v>
      </c>
      <c r="U16" s="81">
        <f t="shared" si="4"/>
        <v>4.4907616340591136E-2</v>
      </c>
      <c r="W16" s="60">
        <f>(((('Eingabe - Input'!$M$61)/100)*(2*('Eingabe - Input'!$M$59)*100)^4)/('Schnittgrößen (g,T)'!$C$8))*(R16-$I$46*S16)</f>
        <v>0.25380890847598064</v>
      </c>
      <c r="X16" s="60">
        <f>('Schnittgrößen (g,T)'!$C$47*100)*(2*100*'Eingabe - Input'!$M$59)^2/(1+'Schnittgrößen (g,T)'!$C$11)*(U16-$I$49*S16)</f>
        <v>-0.13910895180707691</v>
      </c>
      <c r="Y16" s="66">
        <f t="shared" si="5"/>
        <v>0.1</v>
      </c>
    </row>
    <row r="17" spans="2:25">
      <c r="B17" s="58"/>
      <c r="F17" s="58"/>
      <c r="L17" s="523"/>
      <c r="M17" s="80">
        <f>('Eingabe - Input'!$M$58*'Eingabe - Input'!$M$59)*N17</f>
        <v>0.5</v>
      </c>
      <c r="N17" s="82">
        <v>0.125</v>
      </c>
      <c r="O17" s="60">
        <f t="shared" si="0"/>
        <v>0.99999775064048702</v>
      </c>
      <c r="P17" s="60">
        <f t="shared" si="1"/>
        <v>5.6904501854444775E-18</v>
      </c>
      <c r="R17" s="60">
        <f t="shared" si="2"/>
        <v>1.0907660401093129E-2</v>
      </c>
      <c r="S17" s="70">
        <f t="shared" si="3"/>
        <v>1.43489597111413E-2</v>
      </c>
      <c r="U17" s="81">
        <f t="shared" si="4"/>
        <v>5.4595113747773504E-2</v>
      </c>
      <c r="W17" s="60">
        <f>(((('Eingabe - Input'!$M$61)/100)*(2*('Eingabe - Input'!$M$59)*100)^4)/('Schnittgrößen (g,T)'!$C$8))*(R17-$I$46*S17)</f>
        <v>0.2979379301484007</v>
      </c>
      <c r="X17" s="60">
        <f>('Schnittgrößen (g,T)'!$C$47*100)*(2*100*'Eingabe - Input'!$M$59)^2/(1+'Schnittgrößen (g,T)'!$C$11)*(U17-$I$49*S17)</f>
        <v>-0.16046970857034198</v>
      </c>
      <c r="Y17" s="66">
        <f t="shared" si="5"/>
        <v>0.125</v>
      </c>
    </row>
    <row r="18" spans="2:25">
      <c r="B18" s="58"/>
      <c r="F18" s="58"/>
      <c r="L18" s="523"/>
      <c r="M18" s="80">
        <f>('Eingabe - Input'!$M$58*'Eingabe - Input'!$M$59)*N18</f>
        <v>0.6</v>
      </c>
      <c r="N18" s="73">
        <v>0.15</v>
      </c>
      <c r="O18" s="60">
        <f t="shared" si="0"/>
        <v>0.99999983309449991</v>
      </c>
      <c r="P18" s="60">
        <f t="shared" si="1"/>
        <v>7.6689313672425028E-17</v>
      </c>
      <c r="R18" s="60">
        <f t="shared" si="2"/>
        <v>1.2813145606295082E-2</v>
      </c>
      <c r="S18" s="70">
        <f t="shared" si="3"/>
        <v>1.7132814153369556E-2</v>
      </c>
      <c r="U18" s="81">
        <f t="shared" si="4"/>
        <v>6.365761355538295E-2</v>
      </c>
      <c r="W18" s="60">
        <f>(((('Eingabe - Input'!$M$61)/100)*(2*('Eingabe - Input'!$M$59)*100)^4)/('Schnittgrößen (g,T)'!$C$8))*(R18-$I$46*S18)</f>
        <v>0.33382524613581183</v>
      </c>
      <c r="X18" s="60">
        <f>('Schnittgrößen (g,T)'!$C$47*100)*(2*100*'Eingabe - Input'!$M$59)^2/(1+'Schnittgrößen (g,T)'!$C$11)*(U18-$I$49*S18)</f>
        <v>-0.17677589527786228</v>
      </c>
      <c r="Y18" s="66">
        <f t="shared" si="5"/>
        <v>0.15</v>
      </c>
    </row>
    <row r="19" spans="2:25">
      <c r="B19" s="58"/>
      <c r="D19" s="60">
        <f>1/('Schnittgrößen (g,T)'!$C$11*($D$5)^4)</f>
        <v>9.9026757218538367E-6</v>
      </c>
      <c r="F19" s="58"/>
      <c r="L19" s="523"/>
      <c r="M19" s="80">
        <f>('Eingabe - Input'!$M$58*'Eingabe - Input'!$M$59)*N19</f>
        <v>0.7</v>
      </c>
      <c r="N19" s="82">
        <v>0.17499999999999999</v>
      </c>
      <c r="O19" s="60">
        <f t="shared" si="0"/>
        <v>0.99999998761538744</v>
      </c>
      <c r="P19" s="60">
        <f t="shared" si="1"/>
        <v>1.0335299738782945E-15</v>
      </c>
      <c r="R19" s="60">
        <f t="shared" si="2"/>
        <v>1.4611827431393986E-2</v>
      </c>
      <c r="S19" s="70">
        <f t="shared" si="3"/>
        <v>1.9869793595597818E-2</v>
      </c>
      <c r="U19" s="81">
        <f t="shared" si="4"/>
        <v>7.20951135411073E-2</v>
      </c>
      <c r="W19" s="60">
        <f>(((('Eingabe - Input'!$M$61)/100)*(2*('Eingabe - Input'!$M$59)*100)^4)/('Schnittgrößen (g,T)'!$C$8))*(R19-$I$46*S19)</f>
        <v>0.36133719266219966</v>
      </c>
      <c r="X19" s="60">
        <f>('Schnittgrößen (g,T)'!$C$47*100)*(2*100*'Eingabe - Input'!$M$59)^2/(1+'Schnittgrößen (g,T)'!$C$11)*(U19-$I$49*S19)</f>
        <v>-0.18822826105426418</v>
      </c>
      <c r="Y19" s="66">
        <f t="shared" si="5"/>
        <v>0.17499999999999999</v>
      </c>
    </row>
    <row r="20" spans="2:25">
      <c r="B20" s="58"/>
      <c r="F20" s="58"/>
      <c r="L20" s="523"/>
      <c r="M20" s="80">
        <f>('Eingabe - Input'!$M$58*'Eingabe - Input'!$M$59)*N20</f>
        <v>0.8</v>
      </c>
      <c r="N20" s="82">
        <v>0.2</v>
      </c>
      <c r="O20" s="60">
        <f t="shared" si="0"/>
        <v>0.9999999990810452</v>
      </c>
      <c r="P20" s="60">
        <f t="shared" si="1"/>
        <v>1.3928722996107948E-14</v>
      </c>
      <c r="R20" s="60">
        <f t="shared" si="2"/>
        <v>1.629843242121478E-2</v>
      </c>
      <c r="S20" s="70">
        <f t="shared" si="3"/>
        <v>2.2552085537826068E-2</v>
      </c>
      <c r="U20" s="81">
        <f t="shared" si="4"/>
        <v>7.990761354004805E-2</v>
      </c>
      <c r="W20" s="60">
        <f>(((('Eingabe - Input'!$M$61)/100)*(2*('Eingabe - Input'!$M$59)*100)^4)/('Schnittgrößen (g,T)'!$C$8))*(R20-$I$46*S20)</f>
        <v>0.38038075581302971</v>
      </c>
      <c r="X20" s="60">
        <f>('Schnittgrößen (g,T)'!$C$47*100)*(2*100*'Eingabe - Input'!$M$59)^2/(1+'Schnittgrößen (g,T)'!$C$11)*(U20-$I$49*S20)</f>
        <v>-0.19502757496774428</v>
      </c>
      <c r="Y20" s="66">
        <f t="shared" si="5"/>
        <v>0.2</v>
      </c>
    </row>
    <row r="21" spans="2:25">
      <c r="B21" s="58"/>
      <c r="F21" s="58"/>
      <c r="L21" s="523"/>
      <c r="M21" s="80">
        <f>('Eingabe - Input'!$M$58*'Eingabe - Input'!$M$59)*N21</f>
        <v>0.9</v>
      </c>
      <c r="N21" s="82">
        <v>0.22500000000000001</v>
      </c>
      <c r="O21" s="60">
        <f t="shared" si="0"/>
        <v>0.99999999993181232</v>
      </c>
      <c r="P21" s="60">
        <f t="shared" si="1"/>
        <v>1.8771523729910874E-13</v>
      </c>
      <c r="R21" s="60">
        <f t="shared" si="2"/>
        <v>1.7868077761945933E-2</v>
      </c>
      <c r="S21" s="70">
        <f t="shared" si="3"/>
        <v>2.5171877480054144E-2</v>
      </c>
      <c r="U21" s="81">
        <f t="shared" si="4"/>
        <v>8.7095113539969446E-2</v>
      </c>
      <c r="W21" s="60">
        <f>(((('Eingabe - Input'!$M$61)/100)*(2*('Eingabe - Input'!$M$59)*100)^4)/('Schnittgrößen (g,T)'!$C$8))*(R21-$I$46*S21)</f>
        <v>0.39090355030103124</v>
      </c>
      <c r="X21" s="60">
        <f>('Schnittgrößen (g,T)'!$C$47*100)*(2*100*'Eingabe - Input'!$M$59)^2/(1+'Schnittgrößen (g,T)'!$C$11)*(U21-$I$49*S21)</f>
        <v>-0.19737460756634145</v>
      </c>
      <c r="Y21" s="66">
        <f t="shared" si="5"/>
        <v>0.22500000000000001</v>
      </c>
    </row>
    <row r="22" spans="2:25">
      <c r="B22" s="58"/>
      <c r="F22" s="58"/>
      <c r="L22" s="523"/>
      <c r="M22" s="80">
        <f>('Eingabe - Input'!$M$58*'Eingabe - Input'!$M$59)*N22</f>
        <v>1</v>
      </c>
      <c r="N22" s="82">
        <v>0.25</v>
      </c>
      <c r="O22" s="60">
        <f t="shared" si="0"/>
        <v>0.99999999999494038</v>
      </c>
      <c r="P22" s="60">
        <f t="shared" si="1"/>
        <v>2.5298091091413652E-12</v>
      </c>
      <c r="R22" s="60">
        <f t="shared" si="2"/>
        <v>1.9316271265990146E-2</v>
      </c>
      <c r="S22" s="70">
        <f t="shared" si="3"/>
        <v>2.7721356922279995E-2</v>
      </c>
      <c r="U22" s="81">
        <f t="shared" si="4"/>
        <v>9.3657613539963602E-2</v>
      </c>
      <c r="W22" s="60">
        <f>(((('Eingabe - Input'!$M$61)/100)*(2*('Eingabe - Input'!$M$59)*100)^4)/('Schnittgrößen (g,T)'!$C$8))*(R22-$I$46*S22)</f>
        <v>0.39289381789069866</v>
      </c>
      <c r="X22" s="60">
        <f>('Schnittgrößen (g,T)'!$C$47*100)*(2*100*'Eingabe - Input'!$M$59)^2/(1+'Schnittgrößen (g,T)'!$C$11)*(U22-$I$49*S22)</f>
        <v>-0.19547012950795029</v>
      </c>
      <c r="Y22" s="66">
        <f t="shared" si="5"/>
        <v>0.25</v>
      </c>
    </row>
    <row r="23" spans="2:25">
      <c r="B23" s="58"/>
      <c r="F23" s="58"/>
      <c r="L23" s="523"/>
      <c r="M23" s="83">
        <f>('Eingabe - Input'!$M$58*'Eingabe - Input'!$M$59)*N23</f>
        <v>1.1000000000000001</v>
      </c>
      <c r="N23" s="82">
        <v>0.27500000000000002</v>
      </c>
      <c r="O23" s="60">
        <f t="shared" si="0"/>
        <v>0.99999999999962463</v>
      </c>
      <c r="P23" s="60">
        <f t="shared" si="1"/>
        <v>3.4093844595560914E-11</v>
      </c>
      <c r="R23" s="60">
        <f t="shared" si="2"/>
        <v>2.0638911370840191E-2</v>
      </c>
      <c r="S23" s="70">
        <f t="shared" si="3"/>
        <v>3.0192711364475735E-2</v>
      </c>
      <c r="U23" s="81">
        <f t="shared" si="4"/>
        <v>9.959511353996317E-2</v>
      </c>
      <c r="W23" s="60">
        <f>(((('Eingabe - Input'!$M$61)/100)*(2*('Eingabe - Input'!$M$59)*100)^4)/('Schnittgrößen (g,T)'!$C$8))*(R23-$I$46*S23)</f>
        <v>0.38638042728276722</v>
      </c>
      <c r="X23" s="60">
        <f>('Schnittgrößen (g,T)'!$C$47*100)*(2*100*'Eingabe - Input'!$M$59)^2/(1+'Schnittgrößen (g,T)'!$C$11)*(U23-$I$49*S23)</f>
        <v>-0.18951491145927635</v>
      </c>
      <c r="Y23" s="66">
        <f t="shared" si="5"/>
        <v>0.27500000000000002</v>
      </c>
    </row>
    <row r="24" spans="2:25">
      <c r="B24" s="58"/>
      <c r="D24" s="60">
        <f>(COSH($D$7)-1)/COSH($D$7)</f>
        <v>1</v>
      </c>
      <c r="F24" s="58"/>
      <c r="L24" s="523"/>
      <c r="M24" s="80">
        <f>('Eingabe - Input'!$M$58*'Eingabe - Input'!$M$59)*N24</f>
        <v>1.2</v>
      </c>
      <c r="N24" s="73">
        <v>0.3</v>
      </c>
      <c r="O24" s="60">
        <f t="shared" si="0"/>
        <v>0.99999999999997213</v>
      </c>
      <c r="P24" s="60">
        <f t="shared" si="1"/>
        <v>4.5947745033646943E-10</v>
      </c>
      <c r="R24" s="60">
        <f t="shared" si="2"/>
        <v>2.1832287138995529E-2</v>
      </c>
      <c r="S24" s="70">
        <f t="shared" si="3"/>
        <v>3.2578128306265733E-2</v>
      </c>
      <c r="U24" s="81">
        <f t="shared" si="4"/>
        <v>0.10490761353996314</v>
      </c>
      <c r="W24" s="60">
        <f>(((('Eingabe - Input'!$M$61)/100)*(2*('Eingabe - Input'!$M$59)*100)^4)/('Schnittgrößen (g,T)'!$C$8))*(R24-$I$46*S24)</f>
        <v>0.37143287412430886</v>
      </c>
      <c r="X24" s="60">
        <f>('Schnittgrößen (g,T)'!$C$47*100)*(2*100*'Eingabe - Input'!$M$59)^2/(1+'Schnittgrößen (g,T)'!$C$11)*(U24-$I$49*S24)</f>
        <v>-0.17970972409656688</v>
      </c>
      <c r="Y24" s="66">
        <f t="shared" si="5"/>
        <v>0.3</v>
      </c>
    </row>
    <row r="25" spans="2:25">
      <c r="B25" s="58"/>
      <c r="F25" s="58"/>
      <c r="L25" s="523"/>
      <c r="M25" s="80">
        <f>('Eingabe - Input'!$M$58*'Eingabe - Input'!$M$59)*N25</f>
        <v>1.3</v>
      </c>
      <c r="N25" s="82">
        <v>0.32500000000000001</v>
      </c>
      <c r="O25" s="60">
        <f t="shared" si="0"/>
        <v>0.99999999999999789</v>
      </c>
      <c r="P25" s="60">
        <f t="shared" si="1"/>
        <v>6.1923062615001077E-9</v>
      </c>
      <c r="R25" s="60">
        <f t="shared" si="2"/>
        <v>2.2893078257956126E-2</v>
      </c>
      <c r="S25" s="70">
        <f t="shared" si="3"/>
        <v>3.4869795242587674E-2</v>
      </c>
      <c r="U25" s="81">
        <f t="shared" si="4"/>
        <v>0.10959511353996315</v>
      </c>
      <c r="W25" s="60">
        <f>(((('Eingabe - Input'!$M$61)/100)*(2*('Eingabe - Input'!$M$59)*100)^4)/('Schnittgrößen (g,T)'!$C$8))*(R25-$I$46*S25)</f>
        <v>0.34816128126103935</v>
      </c>
      <c r="X25" s="60">
        <f>('Schnittgrößen (g,T)'!$C$47*100)*(2*100*'Eingabe - Input'!$M$59)^2/(1+'Schnittgrößen (g,T)'!$C$11)*(U25-$I$49*S25)</f>
        <v>-0.16625533821655514</v>
      </c>
      <c r="Y25" s="66">
        <f t="shared" si="5"/>
        <v>0.32500000000000001</v>
      </c>
    </row>
    <row r="26" spans="2:25">
      <c r="B26" s="58"/>
      <c r="C26" s="84"/>
      <c r="F26" s="58"/>
      <c r="L26" s="523"/>
      <c r="M26" s="80">
        <f>('Eingabe - Input'!$M$58*'Eingabe - Input'!$M$59)*N26</f>
        <v>1.4</v>
      </c>
      <c r="N26" s="82">
        <v>0.35</v>
      </c>
      <c r="O26" s="60">
        <f t="shared" si="0"/>
        <v>0.99999999999999978</v>
      </c>
      <c r="P26" s="60">
        <f t="shared" si="1"/>
        <v>8.3452750092815547E-8</v>
      </c>
      <c r="R26" s="60">
        <f t="shared" si="2"/>
        <v>2.3818355040221978E-2</v>
      </c>
      <c r="S26" s="70">
        <f t="shared" si="3"/>
        <v>3.70598996052173E-2</v>
      </c>
      <c r="U26" s="81">
        <f t="shared" si="4"/>
        <v>0.11365761353996313</v>
      </c>
      <c r="W26" s="60">
        <f>(((('Eingabe - Input'!$M$61)/100)*(2*('Eingabe - Input'!$M$59)*100)^4)/('Schnittgrößen (g,T)'!$C$8))*(R26-$I$46*S26)</f>
        <v>0.31671640214624702</v>
      </c>
      <c r="X26" s="60">
        <f>('Schnittgrößen (g,T)'!$C$47*100)*(2*100*'Eingabe - Input'!$M$59)^2/(1+'Schnittgrößen (g,T)'!$C$11)*(U26-$I$49*S26)</f>
        <v>-0.14935252623915371</v>
      </c>
      <c r="Y26" s="66">
        <f t="shared" si="5"/>
        <v>0.35</v>
      </c>
    </row>
    <row r="27" spans="2:25">
      <c r="B27" s="58"/>
      <c r="F27" s="58"/>
      <c r="L27" s="523"/>
      <c r="M27" s="80">
        <f>('Eingabe - Input'!$M$58*'Eingabe - Input'!$M$59)*N27</f>
        <v>1.5</v>
      </c>
      <c r="N27" s="82">
        <v>0.375</v>
      </c>
      <c r="O27" s="60">
        <f t="shared" si="0"/>
        <v>1</v>
      </c>
      <c r="P27" s="60">
        <f t="shared" si="1"/>
        <v>1.124679756450997E-6</v>
      </c>
      <c r="R27" s="60">
        <f t="shared" si="2"/>
        <v>2.4605578423293084E-2</v>
      </c>
      <c r="S27" s="70">
        <f t="shared" si="3"/>
        <v>3.914062797470718E-2</v>
      </c>
      <c r="U27" s="81">
        <f t="shared" si="4"/>
        <v>0.11709511353996314</v>
      </c>
      <c r="W27" s="60">
        <f>(((('Eingabe - Input'!$M$61)/100)*(2*('Eingabe - Input'!$M$59)*100)^4)/('Schnittgrößen (g,T)'!$C$8))*(R27-$I$46*S27)</f>
        <v>0.27728966678301048</v>
      </c>
      <c r="X27" s="60">
        <f>('Schnittgrößen (g,T)'!$C$47*100)*(2*100*'Eingabe - Input'!$M$59)^2/(1+'Schnittgrößen (g,T)'!$C$11)*(U27-$I$49*S27)</f>
        <v>-0.12920208245955869</v>
      </c>
      <c r="Y27" s="66">
        <f t="shared" si="5"/>
        <v>0.375</v>
      </c>
    </row>
    <row r="28" spans="2:25">
      <c r="B28" s="58"/>
      <c r="F28" s="58"/>
      <c r="L28" s="523"/>
      <c r="M28" s="80">
        <f>('Eingabe - Input'!$M$58*'Eingabe - Input'!$M$59)*N28</f>
        <v>1.6</v>
      </c>
      <c r="N28" s="82">
        <v>0.4</v>
      </c>
      <c r="O28" s="60">
        <f t="shared" si="0"/>
        <v>1</v>
      </c>
      <c r="P28" s="60">
        <f t="shared" si="1"/>
        <v>1.5157134464279066E-5</v>
      </c>
      <c r="R28" s="60">
        <f t="shared" si="2"/>
        <v>2.5252599969669443E-2</v>
      </c>
      <c r="S28" s="70">
        <f t="shared" si="3"/>
        <v>4.110415545980687E-2</v>
      </c>
      <c r="U28" s="81">
        <f t="shared" si="4"/>
        <v>0.11990761353996314</v>
      </c>
      <c r="W28" s="60">
        <f>(((('Eingabe - Input'!$M$61)/100)*(2*('Eingabe - Input'!$M$59)*100)^4)/('Schnittgrößen (g,T)'!$C$8))*(R28-$I$46*S28)</f>
        <v>0.23011380088043853</v>
      </c>
      <c r="X28" s="60">
        <f>('Schnittgrößen (g,T)'!$C$47*100)*(2*100*'Eingabe - Input'!$M$59)^2/(1+'Schnittgrößen (g,T)'!$C$11)*(U28-$I$49*S28)</f>
        <v>-0.10600509598276239</v>
      </c>
      <c r="Y28" s="66">
        <f t="shared" si="5"/>
        <v>0.4</v>
      </c>
    </row>
    <row r="29" spans="2:25">
      <c r="B29" s="58"/>
      <c r="D29" s="60">
        <f>(COSH($D$7)-COSH(($D$5*(1-2*$D$44))/2))/COSH($D$7)</f>
        <v>0.99999999999494038</v>
      </c>
      <c r="F29" s="58"/>
      <c r="L29" s="523"/>
      <c r="M29" s="80">
        <f>('Eingabe - Input'!$M$58*'Eingabe - Input'!$M$59)*N29</f>
        <v>1.7</v>
      </c>
      <c r="N29" s="82">
        <v>0.42499999999999999</v>
      </c>
      <c r="O29" s="60">
        <f t="shared" si="0"/>
        <v>1</v>
      </c>
      <c r="P29" s="60">
        <f t="shared" si="1"/>
        <v>2.042703479372571E-4</v>
      </c>
      <c r="R29" s="60">
        <f t="shared" si="2"/>
        <v>2.5757661866851054E-2</v>
      </c>
      <c r="S29" s="70">
        <f t="shared" si="3"/>
        <v>4.2942502565557858E-2</v>
      </c>
      <c r="U29" s="81">
        <f t="shared" si="4"/>
        <v>0.12209511353996313</v>
      </c>
      <c r="W29" s="60">
        <f>(((('Eingabe - Input'!$M$61)/100)*(2*('Eingabe - Input'!$M$59)*100)^4)/('Schnittgrößen (g,T)'!$C$8))*(R29-$I$46*S29)</f>
        <v>0.17547117012616659</v>
      </c>
      <c r="X29" s="60">
        <f>('Schnittgrößen (g,T)'!$C$47*100)*(2*100*'Eingabe - Input'!$M$59)^2/(1+'Schnittgrößen (g,T)'!$C$11)*(U29-$I$49*S29)</f>
        <v>-7.9966629019617763E-2</v>
      </c>
      <c r="Y29" s="66">
        <f t="shared" si="5"/>
        <v>0.42499999999999999</v>
      </c>
    </row>
    <row r="30" spans="2:25">
      <c r="B30" s="58"/>
      <c r="F30" s="58"/>
      <c r="L30" s="523"/>
      <c r="M30" s="80">
        <f>('Eingabe - Input'!$M$58*'Eingabe - Input'!$M$59)*N30</f>
        <v>1.8</v>
      </c>
      <c r="N30" s="73">
        <v>0.45</v>
      </c>
      <c r="O30" s="60">
        <f t="shared" si="0"/>
        <v>1</v>
      </c>
      <c r="P30" s="60">
        <f t="shared" si="1"/>
        <v>2.7529197649295073E-3</v>
      </c>
      <c r="R30" s="60">
        <f t="shared" si="2"/>
        <v>2.6119396927337921E-2</v>
      </c>
      <c r="S30" s="70">
        <f t="shared" si="3"/>
        <v>4.4645606226831641E-2</v>
      </c>
      <c r="U30" s="81">
        <f t="shared" si="4"/>
        <v>0.12365761353996316</v>
      </c>
      <c r="W30" s="60">
        <f>(((('Eingabe - Input'!$M$61)/100)*(2*('Eingabe - Input'!$M$59)*100)^4)/('Schnittgrößen (g,T)'!$C$8))*(R30-$I$46*S30)</f>
        <v>0.1138062346512428</v>
      </c>
      <c r="X30" s="60">
        <f>('Schnittgrößen (g,T)'!$C$47*100)*(2*100*'Eingabe - Input'!$M$59)^2/(1+'Schnittgrößen (g,T)'!$C$11)*(U30-$I$49*S30)</f>
        <v>-5.1345288711797249E-2</v>
      </c>
      <c r="Y30" s="66">
        <f t="shared" si="5"/>
        <v>0.45</v>
      </c>
    </row>
    <row r="31" spans="2:25">
      <c r="B31" s="58"/>
      <c r="F31" s="58"/>
      <c r="L31" s="523"/>
      <c r="M31" s="80">
        <f>('Eingabe - Input'!$M$58*'Eingabe - Input'!$M$59)*N31</f>
        <v>1.9</v>
      </c>
      <c r="N31" s="82">
        <v>0.47499999999999998</v>
      </c>
      <c r="O31" s="60">
        <f t="shared" si="0"/>
        <v>1</v>
      </c>
      <c r="P31" s="60">
        <f t="shared" si="1"/>
        <v>3.7100672264323641E-2</v>
      </c>
      <c r="R31" s="60">
        <f t="shared" si="2"/>
        <v>2.633682858863004E-2</v>
      </c>
      <c r="S31" s="70">
        <f t="shared" si="3"/>
        <v>4.6175323426804867E-2</v>
      </c>
      <c r="U31" s="81">
        <f t="shared" si="4"/>
        <v>0.12459511353996314</v>
      </c>
      <c r="W31" s="60">
        <f>(((('Eingabe - Input'!$M$61)/100)*(2*('Eingabe - Input'!$M$59)*100)^4)/('Schnittgrößen (g,T)'!$C$8))*(R31-$I$46*S31)</f>
        <v>4.7241080394251983E-2</v>
      </c>
      <c r="X31" s="60">
        <f>('Schnittgrößen (g,T)'!$C$47*100)*(2*100*'Eingabe - Input'!$M$59)^2/(1+'Schnittgrößen (g,T)'!$C$11)*(U31-$I$49*S31)</f>
        <v>-2.1121298920467733E-2</v>
      </c>
      <c r="Y31" s="66">
        <f t="shared" si="5"/>
        <v>0.47499999999999998</v>
      </c>
    </row>
    <row r="32" spans="2:25">
      <c r="L32" s="523"/>
      <c r="M32" s="83">
        <f>('Eingabe - Input'!$M$58*'Eingabe - Input'!$M$59)*N32</f>
        <v>2</v>
      </c>
      <c r="N32" s="85">
        <v>0.5</v>
      </c>
      <c r="O32" s="60">
        <f t="shared" si="0"/>
        <v>1</v>
      </c>
      <c r="P32" s="60">
        <f t="shared" si="1"/>
        <v>0.5</v>
      </c>
      <c r="R32" s="60">
        <f t="shared" si="2"/>
        <v>2.6409370913227412E-2</v>
      </c>
      <c r="S32" s="70">
        <f t="shared" si="3"/>
        <v>4.711508199924791E-2</v>
      </c>
      <c r="U32" s="81">
        <f t="shared" si="4"/>
        <v>0.12490761353996314</v>
      </c>
      <c r="W32" s="60">
        <f>(((('Eingabe - Input'!$M$61)/100)*(2*('Eingabe - Input'!$M$59)*100)^4)/('Schnittgrößen (g,T)'!$C$8))*(R32-$I$46*S32)</f>
        <v>0</v>
      </c>
      <c r="X32" s="60">
        <f>('Schnittgrößen (g,T)'!$C$47*100)*(2*100*'Eingabe - Input'!$M$59)^2/(1+'Schnittgrößen (g,T)'!$C$11)*(U32-$I$49*S32)</f>
        <v>0</v>
      </c>
      <c r="Y32" s="66">
        <f>N32</f>
        <v>0.5</v>
      </c>
    </row>
    <row r="33" spans="3:24">
      <c r="L33" s="71"/>
      <c r="M33" s="80"/>
      <c r="N33" s="82"/>
    </row>
    <row r="34" spans="3:24">
      <c r="D34" s="60">
        <f>((SINH($D$7))^2)/SINH($D$5)</f>
        <v>0.5</v>
      </c>
      <c r="L34" s="71"/>
      <c r="M34" s="80"/>
      <c r="N34" s="82"/>
    </row>
    <row r="35" spans="3:24">
      <c r="L35" s="71"/>
      <c r="M35" s="80"/>
      <c r="N35" s="82"/>
    </row>
    <row r="36" spans="3:24">
      <c r="L36" s="71"/>
      <c r="M36" s="80"/>
      <c r="N36" s="73"/>
      <c r="V36" s="61" t="s">
        <v>191</v>
      </c>
      <c r="W36" s="60">
        <f>MAX($W$12:$W$32)</f>
        <v>0.39289381789069866</v>
      </c>
      <c r="X36" s="60">
        <f>MAX($X$12:$X$32)</f>
        <v>0</v>
      </c>
    </row>
    <row r="37" spans="3:24">
      <c r="L37" s="71"/>
      <c r="M37" s="80"/>
      <c r="N37" s="82"/>
      <c r="V37" s="61" t="s">
        <v>215</v>
      </c>
      <c r="W37" s="60">
        <f>MIN($W$12:$W$32)</f>
        <v>0</v>
      </c>
      <c r="X37" s="60">
        <f>MIN($X$12:$X$32)</f>
        <v>-0.19737460756634145</v>
      </c>
    </row>
    <row r="38" spans="3:24" ht="14.25">
      <c r="D38" s="60">
        <f>(SINH($D$7)*SINH($D$5*$D$44))/SINH($D$5)</f>
        <v>2.5298091091413652E-12</v>
      </c>
      <c r="L38" s="71"/>
      <c r="M38" s="80"/>
      <c r="N38" s="82"/>
      <c r="V38" s="61" t="s">
        <v>192</v>
      </c>
      <c r="W38" s="60">
        <f>VLOOKUP(MAX(W12:W32),W12:Y32,3,FALSE)</f>
        <v>0.25</v>
      </c>
      <c r="X38" s="60">
        <f>VLOOKUP(MAX(X12:X32),X12:Y32,2,FALSE)</f>
        <v>0</v>
      </c>
    </row>
    <row r="39" spans="3:24" ht="14.25">
      <c r="L39" s="71"/>
      <c r="M39" s="80"/>
      <c r="N39" s="73"/>
      <c r="V39" s="61" t="s">
        <v>216</v>
      </c>
      <c r="W39" s="60">
        <f>VLOOKUP(MIN(W12:W32),W12:Y32,3,FALSE)</f>
        <v>0</v>
      </c>
      <c r="X39" s="60">
        <f>VLOOKUP(MIN(X12:X32),X12:Y32,2,FALSE)</f>
        <v>0.22500000000000001</v>
      </c>
    </row>
    <row r="40" spans="3:24">
      <c r="L40" s="71"/>
      <c r="M40" s="80"/>
      <c r="N40" s="82"/>
    </row>
    <row r="41" spans="3:24">
      <c r="L41" s="71"/>
      <c r="M41" s="80"/>
      <c r="N41" s="82"/>
    </row>
    <row r="42" spans="3:24">
      <c r="H42" s="86" t="s">
        <v>104</v>
      </c>
      <c r="I42" s="86" t="s">
        <v>101</v>
      </c>
      <c r="J42" s="86"/>
      <c r="K42" s="86"/>
      <c r="L42" s="71"/>
      <c r="M42" s="80"/>
      <c r="N42" s="82"/>
    </row>
    <row r="43" spans="3:24">
      <c r="L43" s="71"/>
      <c r="M43" s="80"/>
      <c r="N43" s="82"/>
    </row>
    <row r="44" spans="3:24">
      <c r="C44" s="87" t="s">
        <v>195</v>
      </c>
      <c r="D44" s="76">
        <v>0.25</v>
      </c>
      <c r="L44" s="71"/>
      <c r="M44" s="80"/>
      <c r="N44" s="82"/>
    </row>
    <row r="45" spans="3:24">
      <c r="C45" s="72"/>
      <c r="D45" s="88"/>
      <c r="L45" s="71"/>
      <c r="M45" s="80"/>
      <c r="N45" s="73"/>
    </row>
    <row r="46" spans="3:24" ht="12.75" customHeight="1">
      <c r="C46" s="72" t="s">
        <v>153</v>
      </c>
      <c r="D46" s="88">
        <f>I46</f>
        <v>0.5605290236712096</v>
      </c>
      <c r="I46" s="81">
        <f>(1/76.8+(1/8*$D$13)-($D$19*$D$24))/(1/48+0.25*$D$13-($D$16*$D$34))</f>
        <v>0.5605290236712096</v>
      </c>
      <c r="J46" s="81"/>
      <c r="K46" s="81"/>
      <c r="L46" s="71"/>
      <c r="M46" s="89"/>
      <c r="N46" s="82"/>
    </row>
    <row r="47" spans="3:24" ht="12.75" customHeight="1">
      <c r="C47" s="72" t="s">
        <v>154</v>
      </c>
      <c r="D47" s="88">
        <f>I47</f>
        <v>1.9316271265990146E-2</v>
      </c>
      <c r="I47" s="60">
        <f>1/24*$D$44*(1-2*$D$44^2+$D$44^3)+(1/2*$D$13*$D$44*(1-$D$44))-($D$19*$D$29)</f>
        <v>1.9316271265990146E-2</v>
      </c>
      <c r="L47" s="71"/>
      <c r="M47" s="80"/>
      <c r="N47" s="82"/>
    </row>
    <row r="48" spans="3:24" ht="12.75" customHeight="1">
      <c r="C48" s="72" t="s">
        <v>155</v>
      </c>
      <c r="D48" s="88">
        <f>I48</f>
        <v>2.7721356922279995E-2</v>
      </c>
      <c r="I48" s="70">
        <f>1/12*$D$44*(0.75-$D$44^2)+(1/2*$D$13*$D$44)-($D$16*$D$38)</f>
        <v>2.7721356922279995E-2</v>
      </c>
      <c r="J48" s="70"/>
      <c r="K48" s="70"/>
      <c r="L48" s="71"/>
      <c r="M48" s="80"/>
      <c r="N48" s="82"/>
    </row>
    <row r="49" spans="2:14" ht="12.75" customHeight="1">
      <c r="C49" s="72" t="s">
        <v>179</v>
      </c>
      <c r="D49" s="88">
        <f>I49</f>
        <v>2.6511173968020905</v>
      </c>
      <c r="I49" s="60">
        <f>(1/8-($D$10*$D$24))/(1/48+0.25*$D$13-($D$16*$D$34))</f>
        <v>2.6511173968020905</v>
      </c>
      <c r="L49" s="71"/>
      <c r="M49" s="80"/>
      <c r="N49" s="82"/>
    </row>
    <row r="50" spans="2:14" ht="12.75" customHeight="1">
      <c r="C50" s="72" t="s">
        <v>162</v>
      </c>
      <c r="D50" s="88">
        <f>I50</f>
        <v>9.3657613539963602E-2</v>
      </c>
      <c r="I50" s="81">
        <f>1/2*$D$44*(1-$D$44)-($D$10*$D$29)</f>
        <v>9.3657613539963602E-2</v>
      </c>
      <c r="J50" s="81"/>
      <c r="K50" s="81"/>
      <c r="L50" s="71"/>
      <c r="M50" s="80"/>
      <c r="N50" s="82"/>
    </row>
    <row r="51" spans="2:14">
      <c r="L51" s="71"/>
      <c r="M51" s="80"/>
      <c r="N51" s="73"/>
    </row>
    <row r="52" spans="2:14">
      <c r="B52" s="90" t="s">
        <v>181</v>
      </c>
      <c r="L52" s="71"/>
      <c r="M52" s="80"/>
      <c r="N52" s="82"/>
    </row>
    <row r="53" spans="2:14" ht="14.25">
      <c r="B53" s="60" t="s">
        <v>57</v>
      </c>
      <c r="C53" s="61" t="s">
        <v>194</v>
      </c>
      <c r="D53" s="91">
        <f>IF('Eingabe - Input'!$M$58=1,H53,IF('Eingabe - Input'!$M$58=2,I53,""))</f>
        <v>0.39289381789069866</v>
      </c>
      <c r="E53" s="60" t="s">
        <v>103</v>
      </c>
      <c r="F53" s="60" t="s">
        <v>180</v>
      </c>
      <c r="H53" s="92">
        <f>'Schnittgrößen (st)'!C33/100*((100*'Eingabe - Input'!$M$59)^4)/'Schnittgrößen (g,T)'!$C$8*((5/384)+((1/(8*'Schnittgrößen (g,T)'!$C$11*('Schnittgrößen (st)'!C14^2))*(1-(8*'Schnittgrößen (st)'!C15/('Schnittgrößen (st)'!C14^2))))))</f>
        <v>0.43198545744451</v>
      </c>
      <c r="I53" s="60">
        <f>(((('Eingabe - Input'!$M$61)/100)*(2*('Eingabe - Input'!$M$59)*100)^4)/('Schnittgrößen (g,T)'!$C$8))*($I$47-$I$46*$I$48)</f>
        <v>0.39289381789069866</v>
      </c>
      <c r="N53" s="82"/>
    </row>
    <row r="54" spans="2:14" ht="15.75">
      <c r="C54" s="61" t="s">
        <v>193</v>
      </c>
      <c r="D54" s="91">
        <f>IF('Eingabe - Input'!$M$58=1,H54,IF('Eingabe - Input'!$M$58=2,I54,""))</f>
        <v>0.39289381789069866</v>
      </c>
      <c r="E54" s="60" t="s">
        <v>103</v>
      </c>
      <c r="H54" s="92">
        <f>H53</f>
        <v>0.43198545744451</v>
      </c>
      <c r="I54" s="60">
        <f>IF(ABS(W36)&gt;ABS(W37),W36,W37)</f>
        <v>0.39289381789069866</v>
      </c>
      <c r="N54" s="82"/>
    </row>
    <row r="55" spans="2:14" ht="15.75">
      <c r="B55" s="93" t="s">
        <v>198</v>
      </c>
      <c r="C55" s="87" t="s">
        <v>196</v>
      </c>
      <c r="D55" s="94">
        <f>IF('Eingabe - Input'!$M$58=1,H55,IF('Eingabe - Input'!$M$58=2,I55,""))</f>
        <v>0.5</v>
      </c>
      <c r="E55" s="70" t="s">
        <v>108</v>
      </c>
      <c r="H55" s="95">
        <v>0.5</v>
      </c>
      <c r="I55" s="60">
        <f>IF(ABS(W36)&gt;ABS(W37),W38*2,W39*2)</f>
        <v>0.5</v>
      </c>
      <c r="N55" s="82"/>
    </row>
    <row r="56" spans="2:14">
      <c r="C56" s="87"/>
      <c r="D56" s="91"/>
      <c r="E56" s="70"/>
      <c r="H56" s="95"/>
      <c r="N56" s="82"/>
    </row>
  </sheetData>
  <dataConsolidate function="max"/>
  <mergeCells count="1">
    <mergeCell ref="L12:L32"/>
  </mergeCells>
  <pageMargins left="0.7" right="0.7" top="0.78740157499999996" bottom="0.78740157499999996" header="0.3" footer="0.3"/>
  <pageSetup paperSize="9" scale="51" orientation="portrait" r:id="rId1"/>
  <colBreaks count="2" manualBreakCount="2">
    <brk id="7" max="55" man="1"/>
    <brk id="10" max="55" man="1"/>
  </colBreaks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>
              <from>
                <xdr:col>0</xdr:col>
                <xdr:colOff>581025</xdr:colOff>
                <xdr:row>2</xdr:row>
                <xdr:rowOff>38100</xdr:rowOff>
              </from>
              <to>
                <xdr:col>0</xdr:col>
                <xdr:colOff>628650</xdr:colOff>
                <xdr:row>2</xdr:row>
                <xdr:rowOff>123825</xdr:rowOff>
              </to>
            </anchor>
          </objectPr>
        </oleObject>
      </mc:Choice>
      <mc:Fallback>
        <oleObject progId="Equation.3" shapeId="18433" r:id="rId4"/>
      </mc:Fallback>
    </mc:AlternateContent>
    <mc:AlternateContent xmlns:mc="http://schemas.openxmlformats.org/markup-compatibility/2006">
      <mc:Choice Requires="x14">
        <oleObject progId="Equation.3" shapeId="18434" r:id="rId6">
          <objectPr defaultSize="0" autoPict="0" r:id="rId7">
            <anchor moveWithCells="1">
              <from>
                <xdr:col>0</xdr:col>
                <xdr:colOff>552450</xdr:colOff>
                <xdr:row>3</xdr:row>
                <xdr:rowOff>19050</xdr:rowOff>
              </from>
              <to>
                <xdr:col>0</xdr:col>
                <xdr:colOff>628650</xdr:colOff>
                <xdr:row>3</xdr:row>
                <xdr:rowOff>104775</xdr:rowOff>
              </to>
            </anchor>
          </objectPr>
        </oleObject>
      </mc:Choice>
      <mc:Fallback>
        <oleObject progId="Equation.3" shapeId="18434" r:id="rId6"/>
      </mc:Fallback>
    </mc:AlternateContent>
    <mc:AlternateContent xmlns:mc="http://schemas.openxmlformats.org/markup-compatibility/2006">
      <mc:Choice Requires="x14">
        <oleObject progId="Equation.3" shapeId="18435" r:id="rId8">
          <objectPr defaultSize="0" autoPict="0" r:id="rId9">
            <anchor moveWithCells="1">
              <from>
                <xdr:col>0</xdr:col>
                <xdr:colOff>561975</xdr:colOff>
                <xdr:row>3</xdr:row>
                <xdr:rowOff>142875</xdr:rowOff>
              </from>
              <to>
                <xdr:col>0</xdr:col>
                <xdr:colOff>638175</xdr:colOff>
                <xdr:row>4</xdr:row>
                <xdr:rowOff>66675</xdr:rowOff>
              </to>
            </anchor>
          </objectPr>
        </oleObject>
      </mc:Choice>
      <mc:Fallback>
        <oleObject progId="Equation.3" shapeId="18435" r:id="rId8"/>
      </mc:Fallback>
    </mc:AlternateContent>
    <mc:AlternateContent xmlns:mc="http://schemas.openxmlformats.org/markup-compatibility/2006">
      <mc:Choice Requires="x14">
        <oleObject progId="Equation.3" shapeId="18436" r:id="rId10">
          <objectPr defaultSize="0" autoPict="0" r:id="rId11">
            <anchor moveWithCells="1">
              <from>
                <xdr:col>0</xdr:col>
                <xdr:colOff>561975</xdr:colOff>
                <xdr:row>4</xdr:row>
                <xdr:rowOff>114300</xdr:rowOff>
              </from>
              <to>
                <xdr:col>0</xdr:col>
                <xdr:colOff>628650</xdr:colOff>
                <xdr:row>5</xdr:row>
                <xdr:rowOff>28575</xdr:rowOff>
              </to>
            </anchor>
          </objectPr>
        </oleObject>
      </mc:Choice>
      <mc:Fallback>
        <oleObject progId="Equation.3" shapeId="1843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O503"/>
  <sheetViews>
    <sheetView zoomScale="85" zoomScaleNormal="85" zoomScalePageLayoutView="55" workbookViewId="0">
      <selection activeCell="B171" sqref="B171"/>
    </sheetView>
  </sheetViews>
  <sheetFormatPr baseColWidth="10" defaultRowHeight="12.75"/>
  <cols>
    <col min="1" max="1" width="11.42578125" style="167"/>
    <col min="2" max="2" width="52.7109375" style="168" customWidth="1"/>
    <col min="3" max="3" width="11.140625" style="167" customWidth="1"/>
    <col min="4" max="4" width="11.42578125" style="167"/>
    <col min="5" max="11" width="18.28515625" style="167" customWidth="1"/>
    <col min="12" max="26" width="11.42578125" style="167" hidden="1" customWidth="1"/>
    <col min="27" max="27" width="11.42578125" style="167" customWidth="1"/>
    <col min="28" max="16384" width="11.42578125" style="167"/>
  </cols>
  <sheetData>
    <row r="1" spans="1:67" ht="64.5" customHeight="1">
      <c r="C1" s="169"/>
      <c r="D1" s="170"/>
      <c r="E1" s="170"/>
      <c r="H1" s="171"/>
      <c r="I1" s="171"/>
      <c r="J1" s="171"/>
      <c r="K1" s="171"/>
      <c r="L1" s="171"/>
      <c r="M1" s="171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</row>
    <row r="2" spans="1:67" s="173" customFormat="1" ht="42.75" customHeight="1">
      <c r="B2" s="174" t="str">
        <f>IF('Eingabe - Input'!$D$22=1,N2,S2)</f>
        <v>Version 1 (Dezember 2011)</v>
      </c>
      <c r="C2" s="175"/>
      <c r="D2" s="176"/>
      <c r="E2" s="176"/>
      <c r="H2" s="177"/>
      <c r="I2" s="491" t="s">
        <v>424</v>
      </c>
      <c r="J2" s="492"/>
      <c r="K2" s="177"/>
      <c r="L2" s="178"/>
      <c r="M2" s="179"/>
      <c r="N2" s="180" t="s">
        <v>410</v>
      </c>
      <c r="S2" s="180" t="s">
        <v>411</v>
      </c>
    </row>
    <row r="3" spans="1:67" s="181" customFormat="1" ht="30" customHeight="1">
      <c r="B3" s="493" t="str">
        <f>IF('Eingabe - Input'!$D$22=1,N3,S3)</f>
        <v>Abschnitt C: Einzelergebnisse der Schnittgrößen und Spannungen</v>
      </c>
      <c r="C3" s="493"/>
      <c r="D3" s="493"/>
      <c r="E3" s="493"/>
      <c r="F3" s="493"/>
      <c r="G3" s="493"/>
      <c r="H3" s="493"/>
      <c r="I3" s="493"/>
      <c r="J3" s="493"/>
      <c r="K3" s="182"/>
      <c r="L3" s="183"/>
      <c r="M3" s="183"/>
      <c r="N3" s="493" t="s">
        <v>269</v>
      </c>
      <c r="O3" s="493"/>
      <c r="P3" s="493"/>
      <c r="Q3" s="493"/>
      <c r="R3" s="493"/>
      <c r="S3" s="184" t="s">
        <v>323</v>
      </c>
      <c r="T3" s="184"/>
      <c r="U3" s="184"/>
    </row>
    <row r="4" spans="1:67" s="181" customFormat="1" ht="30" customHeight="1">
      <c r="B4" s="502" t="str">
        <f>IF('Eingabe - Input'!$D$22=1,N4,S4)</f>
        <v>für die Beanspruchungen infolge g, s, w, T</v>
      </c>
      <c r="C4" s="502"/>
      <c r="D4" s="502"/>
      <c r="E4" s="502"/>
      <c r="F4" s="502"/>
      <c r="G4" s="502"/>
      <c r="H4" s="502"/>
      <c r="I4" s="502"/>
      <c r="J4" s="502"/>
      <c r="K4" s="185"/>
      <c r="L4" s="183"/>
      <c r="M4" s="183"/>
      <c r="N4" s="494" t="s">
        <v>268</v>
      </c>
      <c r="O4" s="494"/>
      <c r="P4" s="494"/>
      <c r="Q4" s="494"/>
      <c r="R4" s="494"/>
      <c r="S4" s="186" t="s">
        <v>324</v>
      </c>
      <c r="T4" s="186"/>
      <c r="U4" s="186"/>
    </row>
    <row r="5" spans="1:67" s="181" customFormat="1" ht="31.5" customHeight="1">
      <c r="B5" s="187"/>
      <c r="C5" s="188"/>
      <c r="D5" s="189"/>
      <c r="E5" s="190"/>
      <c r="F5" s="189"/>
      <c r="G5" s="190"/>
      <c r="H5" s="191"/>
      <c r="I5" s="188"/>
      <c r="J5" s="191"/>
      <c r="K5" s="189"/>
      <c r="L5" s="183"/>
      <c r="M5" s="192"/>
      <c r="N5" s="188"/>
      <c r="O5" s="189"/>
      <c r="P5" s="193"/>
      <c r="Q5" s="189"/>
      <c r="R5" s="189"/>
      <c r="S5" s="186"/>
      <c r="T5" s="186"/>
      <c r="U5" s="186"/>
    </row>
    <row r="6" spans="1:67" s="181" customFormat="1" ht="30" customHeight="1">
      <c r="B6" s="194" t="str">
        <f>IF('Eingabe - Input'!$D$22=1,N6,S6)</f>
        <v>Tabelle aller Schnittgrößen und Spannungen:</v>
      </c>
      <c r="C6" s="195"/>
      <c r="D6" s="195"/>
      <c r="E6" s="196"/>
      <c r="F6" s="196"/>
      <c r="G6" s="196"/>
      <c r="H6" s="197"/>
      <c r="I6" s="183"/>
      <c r="J6" s="183"/>
      <c r="K6" s="183"/>
      <c r="L6" s="198"/>
      <c r="M6" s="192"/>
      <c r="N6" s="199" t="s">
        <v>237</v>
      </c>
      <c r="O6" s="189"/>
      <c r="P6" s="193"/>
      <c r="Q6" s="189"/>
      <c r="R6" s="189"/>
      <c r="S6" s="200" t="s">
        <v>238</v>
      </c>
      <c r="T6" s="186"/>
      <c r="U6" s="186"/>
    </row>
    <row r="7" spans="1:67" s="181" customFormat="1" ht="30" customHeight="1" thickBot="1">
      <c r="A7" s="201"/>
      <c r="B7" s="202" t="str">
        <f>IF('Eingabe - Input'!$D$22=1,N26,S26)</f>
        <v>Schnittgröße</v>
      </c>
      <c r="C7" s="203"/>
      <c r="D7" s="204" t="str">
        <f>IF('Eingabe - Input'!$D$22=1,O26,T26)</f>
        <v>Einheit</v>
      </c>
      <c r="E7" s="205" t="s">
        <v>201</v>
      </c>
      <c r="F7" s="205" t="s">
        <v>202</v>
      </c>
      <c r="G7" s="205" t="s">
        <v>270</v>
      </c>
      <c r="H7" s="206" t="s">
        <v>271</v>
      </c>
      <c r="I7" s="207"/>
      <c r="J7" s="183"/>
      <c r="K7" s="183"/>
      <c r="L7" s="208"/>
      <c r="M7" s="209"/>
      <c r="N7" s="210" t="s">
        <v>333</v>
      </c>
      <c r="O7" s="211"/>
      <c r="P7" s="193"/>
      <c r="Q7" s="189"/>
      <c r="R7" s="189"/>
      <c r="S7" s="200"/>
      <c r="T7" s="186"/>
      <c r="U7" s="186"/>
    </row>
    <row r="8" spans="1:67" s="181" customFormat="1" ht="19.5" customHeight="1">
      <c r="A8" s="201"/>
      <c r="B8" s="212" t="str">
        <f>IF('Eingabe - Input'!$D$22=1,N27,S27)</f>
        <v>Sandwichmoment</v>
      </c>
      <c r="C8" s="213" t="s">
        <v>272</v>
      </c>
      <c r="D8" s="214" t="s">
        <v>100</v>
      </c>
      <c r="E8" s="215">
        <f>N8*$O$65</f>
        <v>-4.13831266536068E-2</v>
      </c>
      <c r="F8" s="215">
        <f>N8*$O$66</f>
        <v>-0.44831720541407372</v>
      </c>
      <c r="G8" s="215">
        <f>N8*$O$67</f>
        <v>-0.17242969439002834</v>
      </c>
      <c r="H8" s="216">
        <f>N8*$O$68</f>
        <v>-0.24140157214603966</v>
      </c>
      <c r="I8" s="207"/>
      <c r="J8" s="183"/>
      <c r="K8" s="183"/>
      <c r="L8" s="208"/>
      <c r="M8" s="192"/>
      <c r="N8" s="217">
        <f>IF('Eingabe - Input'!$R$24=1,'Schnittgrößen (g,T)'!C33,'eben - flat Schnittgrößen (g,T)'!C53)</f>
        <v>-0.34485938878005667</v>
      </c>
      <c r="O8" s="218" t="s">
        <v>272</v>
      </c>
      <c r="P8" s="193"/>
      <c r="Q8" s="189"/>
      <c r="R8" s="189"/>
      <c r="S8" s="200"/>
      <c r="T8" s="186"/>
      <c r="U8" s="186"/>
    </row>
    <row r="9" spans="1:67" s="181" customFormat="1" ht="19.5" customHeight="1">
      <c r="A9" s="201"/>
      <c r="B9" s="212" t="str">
        <f>IF('Eingabe - Input'!$D$22=1,N28,S28)</f>
        <v>Deckschichtmoment</v>
      </c>
      <c r="C9" s="219" t="s">
        <v>273</v>
      </c>
      <c r="D9" s="220" t="s">
        <v>100</v>
      </c>
      <c r="E9" s="215">
        <f t="shared" ref="E9:E21" si="0">N9*$O$65</f>
        <v>-2.9477743779874797E-3</v>
      </c>
      <c r="F9" s="215">
        <f>N9*$O$66</f>
        <v>-3.1934222428197698E-2</v>
      </c>
      <c r="G9" s="215">
        <f>N9*$O$67</f>
        <v>-1.2282393241614498E-2</v>
      </c>
      <c r="H9" s="216">
        <f>N9*$O$68</f>
        <v>-1.7195350538260296E-2</v>
      </c>
      <c r="I9" s="207"/>
      <c r="J9" s="183"/>
      <c r="K9" s="183"/>
      <c r="L9" s="208"/>
      <c r="M9" s="192"/>
      <c r="N9" s="217">
        <f>IF('Eingabe - Input'!$R$24=1,'Schnittgrößen (g,T)'!C34,'eben - flat Schnittgrößen (g,T)'!C54)</f>
        <v>-2.4564786483228997E-2</v>
      </c>
      <c r="O9" s="218" t="s">
        <v>273</v>
      </c>
      <c r="P9" s="193"/>
      <c r="Q9" s="189"/>
      <c r="R9" s="189"/>
      <c r="S9" s="200"/>
      <c r="T9" s="186"/>
      <c r="U9" s="186"/>
    </row>
    <row r="10" spans="1:67" s="181" customFormat="1" ht="19.5" customHeight="1">
      <c r="A10" s="201"/>
      <c r="B10" s="212" t="str">
        <f>IF('Eingabe - Input'!$D$22=1,N29,S29)</f>
        <v>Deckschichtmoment</v>
      </c>
      <c r="C10" s="219" t="s">
        <v>274</v>
      </c>
      <c r="D10" s="220" t="s">
        <v>100</v>
      </c>
      <c r="E10" s="215">
        <f t="shared" si="0"/>
        <v>0</v>
      </c>
      <c r="F10" s="215">
        <f>N10*$O$66</f>
        <v>0</v>
      </c>
      <c r="G10" s="215">
        <f>N10*$O$67</f>
        <v>0</v>
      </c>
      <c r="H10" s="216">
        <f>N10*$O$68</f>
        <v>0</v>
      </c>
      <c r="I10" s="207"/>
      <c r="J10" s="183"/>
      <c r="K10" s="183"/>
      <c r="L10" s="208"/>
      <c r="M10" s="192"/>
      <c r="N10" s="217">
        <f>IF('Eingabe - Input'!$R$24=1,'Schnittgrößen (g,T)'!C35,'eben - flat Schnittgrößen (g,T)'!C55)</f>
        <v>0</v>
      </c>
      <c r="O10" s="218" t="s">
        <v>274</v>
      </c>
      <c r="P10" s="221"/>
      <c r="Q10" s="189"/>
      <c r="R10" s="189"/>
      <c r="S10" s="200"/>
      <c r="T10" s="186"/>
      <c r="U10" s="186"/>
    </row>
    <row r="11" spans="1:67" s="181" customFormat="1" ht="19.5" customHeight="1">
      <c r="A11" s="201"/>
      <c r="B11" s="212" t="str">
        <f>IF('Eingabe - Input'!$D$22=1,N30,S30)</f>
        <v>Querkraft in der Kernschicht</v>
      </c>
      <c r="C11" s="219" t="s">
        <v>275</v>
      </c>
      <c r="D11" s="220" t="s">
        <v>102</v>
      </c>
      <c r="E11" s="215">
        <f>N11*$O$65</f>
        <v>0.13908129750800652</v>
      </c>
      <c r="F11" s="215">
        <f>N11*$O$66</f>
        <v>1.5067140563367376</v>
      </c>
      <c r="G11" s="215">
        <f>N11*$O$67</f>
        <v>0.57950540628336056</v>
      </c>
      <c r="H11" s="216">
        <f>N11*$O$68</f>
        <v>0.81130756879670474</v>
      </c>
      <c r="I11" s="207"/>
      <c r="J11" s="183"/>
      <c r="K11" s="183"/>
      <c r="L11" s="208"/>
      <c r="M11" s="192"/>
      <c r="N11" s="217">
        <f>IF('Eingabe - Input'!$R$24=1,'Schnittgrößen (g,T)'!C36,'eben - flat Schnittgrößen (g,T)'!C56)</f>
        <v>1.1590108125667211</v>
      </c>
      <c r="O11" s="218" t="s">
        <v>275</v>
      </c>
      <c r="P11" s="222"/>
      <c r="Q11" s="193"/>
      <c r="R11" s="189"/>
      <c r="S11" s="200"/>
      <c r="T11" s="186"/>
      <c r="U11" s="186"/>
    </row>
    <row r="12" spans="1:67" s="181" customFormat="1" ht="19.5" customHeight="1">
      <c r="A12" s="201"/>
      <c r="B12" s="212" t="str">
        <f>IF('Eingabe - Input'!$D$22=1,N31,S31)</f>
        <v>Querkraft in der äußeren Deckschicht</v>
      </c>
      <c r="C12" s="219" t="s">
        <v>276</v>
      </c>
      <c r="D12" s="220" t="s">
        <v>102</v>
      </c>
      <c r="E12" s="215" t="str">
        <f>IF('Eingabe - Input'!$M$58=1,N12*$O$65,IF('Eingabe - Input'!$M$58=2,"",""))</f>
        <v/>
      </c>
      <c r="F12" s="215" t="str">
        <f>IF('Eingabe - Input'!$M$58=1,N12*$O$66,IF('Eingabe - Input'!$M$58=2,"",""))</f>
        <v/>
      </c>
      <c r="G12" s="215" t="str">
        <f>IF('Eingabe - Input'!$M$58=1,N12*$O$67,IF('Eingabe - Input'!$M$58=2,"",""))</f>
        <v/>
      </c>
      <c r="H12" s="216" t="str">
        <f>IF('Eingabe - Input'!$M$58=1,N12*$O$68,IF('Eingabe - Input'!$M$58=2,"",""))</f>
        <v/>
      </c>
      <c r="I12" s="207"/>
      <c r="J12" s="183"/>
      <c r="K12" s="183"/>
      <c r="L12" s="208"/>
      <c r="M12" s="192"/>
      <c r="N12" s="217" t="str">
        <f>IF('Eingabe - Input'!$R$24=1,'Schnittgrößen (g,T)'!C37,'eben - flat Schnittgrößen (g,T)'!C57)</f>
        <v/>
      </c>
      <c r="O12" s="218" t="s">
        <v>276</v>
      </c>
      <c r="P12" s="223"/>
      <c r="Q12" s="189"/>
      <c r="R12" s="189"/>
      <c r="S12" s="200"/>
      <c r="T12" s="186"/>
      <c r="U12" s="186"/>
    </row>
    <row r="13" spans="1:67" s="181" customFormat="1" ht="19.5" customHeight="1">
      <c r="A13" s="201"/>
      <c r="B13" s="212" t="str">
        <f>IF('Eingabe - Input'!$D$22=1,N32,S32)</f>
        <v>Querkraft in der inneren Deckschicht</v>
      </c>
      <c r="C13" s="219" t="s">
        <v>277</v>
      </c>
      <c r="D13" s="220" t="s">
        <v>102</v>
      </c>
      <c r="E13" s="215" t="str">
        <f>IF('Eingabe - Input'!$M$58=1,N13*$O$65,IF('Eingabe - Input'!$M$58=2,"",""))</f>
        <v/>
      </c>
      <c r="F13" s="215" t="str">
        <f>IF('Eingabe - Input'!$M$58=1,N13*$O$66,IF('Eingabe - Input'!$M$58=2,"",""))</f>
        <v/>
      </c>
      <c r="G13" s="215" t="str">
        <f>IF('Eingabe - Input'!$M$58=1,N13*$O$67,IF('Eingabe - Input'!$M$58=2,"",""))</f>
        <v/>
      </c>
      <c r="H13" s="216" t="str">
        <f>IF('Eingabe - Input'!$M$58=1,N13*$O$68,IF('Eingabe - Input'!$M$58=2,"",""))</f>
        <v/>
      </c>
      <c r="I13" s="207"/>
      <c r="J13" s="183"/>
      <c r="K13" s="183"/>
      <c r="L13" s="208"/>
      <c r="M13" s="192"/>
      <c r="N13" s="217" t="str">
        <f>IF('Eingabe - Input'!$R$24=1,'Schnittgrößen (g,T)'!C38,'eben - flat Schnittgrößen (g,T)'!C58)</f>
        <v/>
      </c>
      <c r="O13" s="218" t="s">
        <v>277</v>
      </c>
      <c r="P13" s="193"/>
      <c r="Q13" s="189"/>
      <c r="R13" s="189"/>
      <c r="S13" s="200"/>
      <c r="T13" s="186"/>
      <c r="U13" s="186"/>
    </row>
    <row r="14" spans="1:67" s="181" customFormat="1" ht="19.5" customHeight="1">
      <c r="A14" s="201"/>
      <c r="B14" s="212" t="str">
        <f>IF('Eingabe - Input'!$D$22=1,N33,S33)</f>
        <v>Endauflagerkraft</v>
      </c>
      <c r="C14" s="219" t="s">
        <v>278</v>
      </c>
      <c r="D14" s="220" t="s">
        <v>102</v>
      </c>
      <c r="E14" s="215">
        <f t="shared" si="0"/>
        <v>9.7834549484202851E-2</v>
      </c>
      <c r="F14" s="215">
        <f>N14*$O$66</f>
        <v>1.0598742860788644</v>
      </c>
      <c r="G14" s="215">
        <f>N14*$O$67</f>
        <v>0.40764395618417859</v>
      </c>
      <c r="H14" s="216">
        <f>N14*$O$68</f>
        <v>0.57070153865785</v>
      </c>
      <c r="I14" s="207"/>
      <c r="J14" s="183"/>
      <c r="K14" s="183"/>
      <c r="L14" s="208"/>
      <c r="M14" s="192"/>
      <c r="N14" s="217">
        <f>IF('Eingabe - Input'!$R$24=1,'Schnittgrößen (g,T)'!C39,'eben - flat Schnittgrößen (g,T)'!C59)</f>
        <v>0.81528791236835718</v>
      </c>
      <c r="O14" s="218" t="s">
        <v>278</v>
      </c>
      <c r="P14" s="193"/>
      <c r="Q14" s="189"/>
      <c r="R14" s="189"/>
      <c r="S14" s="200"/>
      <c r="T14" s="186"/>
      <c r="U14" s="186"/>
    </row>
    <row r="15" spans="1:67" s="181" customFormat="1" ht="19.5" customHeight="1">
      <c r="A15" s="201"/>
      <c r="B15" s="212" t="str">
        <f>IF('Eingabe - Input'!$D$22=1,N34,S34)</f>
        <v>Zwischenauflagerkraft</v>
      </c>
      <c r="C15" s="219" t="s">
        <v>279</v>
      </c>
      <c r="D15" s="220" t="s">
        <v>102</v>
      </c>
      <c r="E15" s="215">
        <f>IF('Eingabe - Input'!$M$58=1,"",IF('Eingabe - Input'!$M$58=2,N15*$O$65,""))</f>
        <v>0.28433090103159425</v>
      </c>
      <c r="F15" s="215">
        <f>IF('Eingabe - Input'!$M$58=1,"",IF('Eingabe - Input'!$M$58=2,N15*$O$66,""))</f>
        <v>3.0802514278422715</v>
      </c>
      <c r="G15" s="215">
        <f>IF('Eingabe - Input'!$M$58=1,"",IF('Eingabe - Input'!$M$58=2,N15*$O$67,""))</f>
        <v>1.1847120876316428</v>
      </c>
      <c r="H15" s="216">
        <f>IF('Eingabe - Input'!$M$58=1,"",IF('Eingabe - Input'!$M$58=2,N15*$O$68,""))</f>
        <v>1.6585969226842998</v>
      </c>
      <c r="I15" s="207"/>
      <c r="J15" s="183"/>
      <c r="K15" s="183"/>
      <c r="L15" s="208"/>
      <c r="M15" s="192"/>
      <c r="N15" s="217">
        <f>IF('Eingabe - Input'!$R$24=1,'Schnittgrößen (g,T)'!C40,'eben - flat Schnittgrößen (g,T)'!C60)</f>
        <v>2.3694241752632856</v>
      </c>
      <c r="O15" s="218" t="s">
        <v>279</v>
      </c>
      <c r="P15" s="193"/>
      <c r="Q15" s="189"/>
      <c r="R15" s="189"/>
      <c r="S15" s="200"/>
      <c r="T15" s="186"/>
      <c r="U15" s="186"/>
    </row>
    <row r="16" spans="1:67" s="181" customFormat="1" ht="19.5" customHeight="1">
      <c r="A16" s="201"/>
      <c r="B16" s="224" t="str">
        <f>IF('Eingabe - Input'!$D$22=1,N35,S35)</f>
        <v>Normalspannungen oberes Deckblech außen</v>
      </c>
      <c r="C16" s="225" t="s">
        <v>280</v>
      </c>
      <c r="D16" s="220" t="s">
        <v>90</v>
      </c>
      <c r="E16" s="215">
        <f t="shared" si="0"/>
        <v>0.9663184008243394</v>
      </c>
      <c r="F16" s="215">
        <f t="shared" ref="F16:F21" si="1">N16*$O$66</f>
        <v>10.468449342263678</v>
      </c>
      <c r="G16" s="215">
        <f t="shared" ref="G16:G21" si="2">N16*$O$67</f>
        <v>4.0263266701014144</v>
      </c>
      <c r="H16" s="216">
        <f t="shared" ref="H16:H21" si="3">N16*$O$68</f>
        <v>5.6368573381419802</v>
      </c>
      <c r="I16" s="207"/>
      <c r="J16" s="183"/>
      <c r="K16" s="183"/>
      <c r="L16" s="208"/>
      <c r="M16" s="192"/>
      <c r="N16" s="217">
        <f>IF('Eingabe - Input'!$R$24=1,'Schnittgrößen (g,T)'!C41,'eben - flat Schnittgrößen (g,T)'!C62)</f>
        <v>8.0526533402028289</v>
      </c>
      <c r="O16" s="226" t="s">
        <v>280</v>
      </c>
      <c r="P16" s="193"/>
      <c r="Q16" s="189"/>
      <c r="R16" s="189"/>
      <c r="S16" s="200"/>
      <c r="T16" s="186"/>
      <c r="U16" s="186"/>
    </row>
    <row r="17" spans="1:21" s="181" customFormat="1" ht="19.5" customHeight="1">
      <c r="A17" s="201"/>
      <c r="B17" s="212" t="str">
        <f>IF('Eingabe - Input'!$D$22=1,N36,S36)</f>
        <v>Normalspannungen oberes Deckblech innen</v>
      </c>
      <c r="C17" s="225" t="s">
        <v>281</v>
      </c>
      <c r="D17" s="220" t="s">
        <v>90</v>
      </c>
      <c r="E17" s="215">
        <f t="shared" si="0"/>
        <v>0.9663184008243394</v>
      </c>
      <c r="F17" s="215">
        <f t="shared" si="1"/>
        <v>10.468449342263678</v>
      </c>
      <c r="G17" s="215">
        <f>N17*$O$67</f>
        <v>4.0263266701014144</v>
      </c>
      <c r="H17" s="216">
        <f t="shared" si="3"/>
        <v>5.6368573381419802</v>
      </c>
      <c r="I17" s="207"/>
      <c r="J17" s="183"/>
      <c r="K17" s="183"/>
      <c r="L17" s="208"/>
      <c r="M17" s="192"/>
      <c r="N17" s="217">
        <f>IF('Eingabe - Input'!$R$24=1,'Schnittgrößen (g,T)'!C42,'eben - flat Schnittgrößen (g,T)'!C62)</f>
        <v>8.0526533402028289</v>
      </c>
      <c r="O17" s="226" t="s">
        <v>281</v>
      </c>
      <c r="P17" s="193"/>
      <c r="Q17" s="189"/>
      <c r="R17" s="189"/>
      <c r="S17" s="200"/>
      <c r="T17" s="186"/>
      <c r="U17" s="186"/>
    </row>
    <row r="18" spans="1:21" s="181" customFormat="1" ht="19.5" customHeight="1">
      <c r="A18" s="201"/>
      <c r="B18" s="212" t="str">
        <f>IF('Eingabe - Input'!$D$22=1,N37,S37)</f>
        <v>Normalspannungen unteres Deckblech innen</v>
      </c>
      <c r="C18" s="225" t="s">
        <v>282</v>
      </c>
      <c r="D18" s="220" t="s">
        <v>90</v>
      </c>
      <c r="E18" s="215">
        <f t="shared" si="0"/>
        <v>-1.1854382196053688</v>
      </c>
      <c r="F18" s="215">
        <f t="shared" si="1"/>
        <v>-12.842247379058163</v>
      </c>
      <c r="G18" s="215">
        <f t="shared" si="2"/>
        <v>-4.9393259150223701</v>
      </c>
      <c r="H18" s="216">
        <f t="shared" si="3"/>
        <v>-6.9150562810313181</v>
      </c>
      <c r="I18" s="207"/>
      <c r="J18" s="183"/>
      <c r="K18" s="183"/>
      <c r="L18" s="208"/>
      <c r="M18" s="192"/>
      <c r="N18" s="217">
        <f>IF('Eingabe - Input'!$R$24=1,'Schnittgrößen (g,T)'!C43,'eben - flat Schnittgrößen (g,T)'!C63)</f>
        <v>-9.8786518300447401</v>
      </c>
      <c r="O18" s="226" t="s">
        <v>282</v>
      </c>
      <c r="P18" s="193"/>
      <c r="Q18" s="189"/>
      <c r="R18" s="189"/>
      <c r="S18" s="200"/>
      <c r="T18" s="186"/>
      <c r="U18" s="186"/>
    </row>
    <row r="19" spans="1:21" s="181" customFormat="1" ht="19.5" customHeight="1">
      <c r="A19" s="201"/>
      <c r="B19" s="212" t="str">
        <f>IF('Eingabe - Input'!$D$22=1,N38,S38)</f>
        <v>Normalspannungen unteres Deckblech außen</v>
      </c>
      <c r="C19" s="225" t="s">
        <v>283</v>
      </c>
      <c r="D19" s="220" t="s">
        <v>90</v>
      </c>
      <c r="E19" s="215">
        <f t="shared" si="0"/>
        <v>-1.1854382196053688</v>
      </c>
      <c r="F19" s="215">
        <f t="shared" si="1"/>
        <v>-12.842247379058163</v>
      </c>
      <c r="G19" s="215">
        <f t="shared" si="2"/>
        <v>-4.9393259150223701</v>
      </c>
      <c r="H19" s="216">
        <f t="shared" si="3"/>
        <v>-6.9150562810313181</v>
      </c>
      <c r="I19" s="207"/>
      <c r="J19" s="183"/>
      <c r="K19" s="183"/>
      <c r="L19" s="208"/>
      <c r="M19" s="192"/>
      <c r="N19" s="217">
        <f>IF('Eingabe - Input'!$R$24=1,'Schnittgrößen (g,T)'!C44,'eben - flat Schnittgrößen (g,T)'!C63)</f>
        <v>-9.8786518300447401</v>
      </c>
      <c r="O19" s="226" t="s">
        <v>283</v>
      </c>
      <c r="P19" s="193"/>
      <c r="Q19" s="189"/>
      <c r="R19" s="189"/>
      <c r="S19" s="200"/>
      <c r="T19" s="186"/>
      <c r="U19" s="186"/>
    </row>
    <row r="20" spans="1:21" s="181" customFormat="1" ht="19.5" customHeight="1">
      <c r="A20" s="201"/>
      <c r="B20" s="212" t="str">
        <f>IF('Eingabe - Input'!$D$22=1,N39,S39)</f>
        <v>Schubspannung im Kern</v>
      </c>
      <c r="C20" s="225" t="s">
        <v>284</v>
      </c>
      <c r="D20" s="220" t="s">
        <v>90</v>
      </c>
      <c r="E20" s="227">
        <f>N20*$O$65</f>
        <v>1.7569643444669848E-3</v>
      </c>
      <c r="F20" s="227">
        <f t="shared" si="1"/>
        <v>1.9033780398392337E-2</v>
      </c>
      <c r="G20" s="227">
        <f t="shared" si="2"/>
        <v>7.3206847686124368E-3</v>
      </c>
      <c r="H20" s="228">
        <f t="shared" si="3"/>
        <v>1.024895867605741E-2</v>
      </c>
      <c r="I20" s="207"/>
      <c r="J20" s="183"/>
      <c r="K20" s="183"/>
      <c r="L20" s="183"/>
      <c r="M20" s="192"/>
      <c r="N20" s="217">
        <f>IF('Eingabe - Input'!$R$24=1,'Schnittgrößen (g,T)'!C45,'eben - flat Schnittgrößen (g,T)'!C64)</f>
        <v>1.4641369537224874E-2</v>
      </c>
      <c r="O20" s="226" t="s">
        <v>284</v>
      </c>
      <c r="P20" s="193"/>
      <c r="Q20" s="189"/>
      <c r="R20" s="189"/>
      <c r="S20" s="200"/>
      <c r="T20" s="186"/>
      <c r="U20" s="186"/>
    </row>
    <row r="21" spans="1:21" s="181" customFormat="1" ht="19.5" customHeight="1">
      <c r="A21" s="201"/>
      <c r="B21" s="212" t="str">
        <f>IF('Eingabe - Input'!$D$22=1,N40,S40)</f>
        <v>maximale Durchbiegung</v>
      </c>
      <c r="C21" s="219" t="s">
        <v>285</v>
      </c>
      <c r="D21" s="229" t="s">
        <v>103</v>
      </c>
      <c r="E21" s="215">
        <f t="shared" si="0"/>
        <v>1.3569774577568501E-2</v>
      </c>
      <c r="F21" s="215">
        <f t="shared" si="1"/>
        <v>0.14700589125699209</v>
      </c>
      <c r="G21" s="215">
        <f t="shared" si="2"/>
        <v>5.6540727406535422E-2</v>
      </c>
      <c r="H21" s="216">
        <f t="shared" si="3"/>
        <v>7.9157018369149582E-2</v>
      </c>
      <c r="I21" s="207"/>
      <c r="J21" s="183"/>
      <c r="K21" s="183"/>
      <c r="L21" s="183"/>
      <c r="M21" s="192"/>
      <c r="N21" s="217">
        <f>IF('Eingabe - Input'!$R$24=1,'Durchbiegung (g+T)'!$D$54,'eben - flat Schnittgrößen (g,T)'!C61)</f>
        <v>0.11308145481307084</v>
      </c>
      <c r="O21" s="218" t="s">
        <v>285</v>
      </c>
      <c r="P21" s="193"/>
      <c r="Q21" s="189"/>
      <c r="R21" s="189"/>
      <c r="S21" s="200"/>
      <c r="T21" s="186"/>
      <c r="U21" s="186"/>
    </row>
    <row r="22" spans="1:21" s="181" customFormat="1" ht="19.5" customHeight="1">
      <c r="A22" s="201"/>
      <c r="B22" s="212" t="str">
        <f>IF('Eingabe - Input'!$D$22=1,N41,S41)</f>
        <v>Stelle der max. Durchbiegung</v>
      </c>
      <c r="C22" s="230" t="s">
        <v>286</v>
      </c>
      <c r="D22" s="229" t="s">
        <v>108</v>
      </c>
      <c r="E22" s="215">
        <f>IF('Eingabe - Input'!R24=1,'Durchbiegung (g+T)'!$D$55,"*")</f>
        <v>0.5</v>
      </c>
      <c r="F22" s="215">
        <f>IF('Eingabe - Input'!R24=1,'Durchbiegung (g+T)'!$D$55,"*")</f>
        <v>0.5</v>
      </c>
      <c r="G22" s="215">
        <f>IF('Eingabe - Input'!R24=1,'Durchbiegung (g+T)'!$D$55,"*")</f>
        <v>0.5</v>
      </c>
      <c r="H22" s="215">
        <f>IF('Eingabe - Input'!R24=1,'Durchbiegung (g+T)'!$D$55,"*")</f>
        <v>0.5</v>
      </c>
      <c r="I22" s="207"/>
      <c r="J22" s="183"/>
      <c r="K22" s="183"/>
      <c r="L22" s="183"/>
      <c r="M22" s="192"/>
      <c r="N22" s="217"/>
      <c r="O22" s="231" t="s">
        <v>286</v>
      </c>
      <c r="P22" s="193"/>
      <c r="Q22" s="189"/>
      <c r="R22" s="189"/>
      <c r="S22" s="200"/>
      <c r="T22" s="186"/>
      <c r="U22" s="186"/>
    </row>
    <row r="23" spans="1:21" s="181" customFormat="1" ht="19.5" customHeight="1">
      <c r="A23" s="201"/>
      <c r="B23" s="232" t="str">
        <f>IF('Eingabe - Input'!$D$22=1,N42,S42)</f>
        <v>Durchbiegung in Feldmitte</v>
      </c>
      <c r="C23" s="219" t="s">
        <v>287</v>
      </c>
      <c r="D23" s="229" t="s">
        <v>103</v>
      </c>
      <c r="E23" s="217">
        <f>IF('Eingabe - Input'!$R$24=1,$N$23*O65,"")</f>
        <v>1.3569774577568501E-2</v>
      </c>
      <c r="F23" s="217">
        <f>IF('Eingabe - Input'!$R$24=1,$N$23*O66,"")</f>
        <v>0.14700589125699209</v>
      </c>
      <c r="G23" s="217">
        <f>IF('Eingabe - Input'!$R$24=1,$N$23*O67,"")</f>
        <v>5.6540727406535422E-2</v>
      </c>
      <c r="H23" s="217">
        <f>IF('Eingabe - Input'!$R$24=1,$N$23*O68,"")</f>
        <v>7.9157018369149582E-2</v>
      </c>
      <c r="I23" s="207"/>
      <c r="J23" s="183"/>
      <c r="K23" s="183"/>
      <c r="L23" s="183"/>
      <c r="M23" s="192"/>
      <c r="N23" s="233">
        <f>IF('Eingabe - Input'!$R$24=1,'Durchbiegung (g+T)'!$D$53,"")</f>
        <v>0.11308145481307084</v>
      </c>
      <c r="O23" s="218" t="s">
        <v>287</v>
      </c>
      <c r="P23" s="221"/>
      <c r="Q23" s="189"/>
      <c r="R23" s="189"/>
      <c r="S23" s="200"/>
      <c r="T23" s="186"/>
      <c r="U23" s="186"/>
    </row>
    <row r="24" spans="1:21" s="181" customFormat="1" ht="19.5" customHeight="1">
      <c r="A24" s="234"/>
      <c r="B24" s="235"/>
      <c r="C24" s="236"/>
      <c r="D24" s="237"/>
      <c r="E24" s="238" t="str">
        <f>IF('Eingabe - Input'!R24=1,"",'eben - flat Schnittgrößen (g,T)'!E61)</f>
        <v/>
      </c>
      <c r="F24" s="238"/>
      <c r="G24" s="238"/>
      <c r="H24" s="238"/>
      <c r="I24" s="239"/>
      <c r="J24" s="183"/>
      <c r="K24" s="183"/>
      <c r="L24" s="183"/>
      <c r="M24" s="192"/>
      <c r="N24" s="240"/>
      <c r="O24" s="241"/>
      <c r="P24" s="242"/>
      <c r="Q24" s="193"/>
      <c r="R24" s="189"/>
      <c r="S24" s="200"/>
      <c r="T24" s="186"/>
      <c r="U24" s="186"/>
    </row>
    <row r="25" spans="1:21" s="181" customFormat="1" ht="15.75" customHeight="1">
      <c r="B25" s="243"/>
      <c r="C25" s="244"/>
      <c r="D25" s="244"/>
      <c r="E25" s="244"/>
      <c r="F25" s="244"/>
      <c r="G25" s="244"/>
      <c r="H25" s="245"/>
      <c r="I25" s="246"/>
      <c r="J25" s="183"/>
      <c r="K25" s="183"/>
      <c r="L25" s="183"/>
      <c r="M25" s="192"/>
      <c r="N25" s="247"/>
      <c r="O25" s="248"/>
      <c r="P25" s="223"/>
      <c r="Q25" s="189"/>
      <c r="R25" s="189"/>
      <c r="S25" s="200"/>
      <c r="T25" s="186"/>
      <c r="U25" s="186"/>
    </row>
    <row r="26" spans="1:21" s="254" customFormat="1" ht="22.5" customHeight="1" thickBot="1">
      <c r="A26" s="249"/>
      <c r="B26" s="202" t="str">
        <f>IF('Eingabe - Input'!$D$22=1,N26,S26)</f>
        <v>Schnittgröße</v>
      </c>
      <c r="C26" s="203"/>
      <c r="D26" s="204" t="str">
        <f>IF('Eingabe - Input'!$D$22=1,N45,S45)</f>
        <v>Einheit</v>
      </c>
      <c r="E26" s="250" t="s">
        <v>288</v>
      </c>
      <c r="F26" s="250" t="s">
        <v>289</v>
      </c>
      <c r="G26" s="251" t="s">
        <v>290</v>
      </c>
      <c r="H26" s="252"/>
      <c r="I26" s="253"/>
      <c r="M26" s="255"/>
      <c r="N26" s="256" t="s">
        <v>199</v>
      </c>
      <c r="O26" s="254" t="s">
        <v>200</v>
      </c>
      <c r="P26" s="257"/>
      <c r="S26" s="258" t="s">
        <v>217</v>
      </c>
      <c r="T26" s="254" t="s">
        <v>218</v>
      </c>
    </row>
    <row r="27" spans="1:21" s="254" customFormat="1" ht="19.5" customHeight="1">
      <c r="A27" s="249"/>
      <c r="B27" s="212" t="str">
        <f>IF('Eingabe - Input'!$D$22=1,N48,S48)</f>
        <v>Sandwichmoment</v>
      </c>
      <c r="C27" s="213" t="s">
        <v>272</v>
      </c>
      <c r="D27" s="214" t="s">
        <v>100</v>
      </c>
      <c r="E27" s="215">
        <f>IF('Eingabe - Input'!$R$24=1,'Schnittgrößen (g,T)'!C49,'eben - flat Schnittgrößen (g,T)'!C68)</f>
        <v>2.0931789630386901</v>
      </c>
      <c r="F27" s="215">
        <f>E27*$O$69</f>
        <v>-2.0931789630386901</v>
      </c>
      <c r="G27" s="216">
        <f>E27*$O$70</f>
        <v>-1.0465894815193451</v>
      </c>
      <c r="H27" s="252"/>
      <c r="I27" s="253"/>
      <c r="L27" s="259"/>
      <c r="M27" s="255"/>
      <c r="N27" s="254" t="s">
        <v>46</v>
      </c>
      <c r="S27" s="258" t="s">
        <v>66</v>
      </c>
    </row>
    <row r="28" spans="1:21" s="254" customFormat="1" ht="21">
      <c r="A28" s="249"/>
      <c r="B28" s="212" t="str">
        <f>IF('Eingabe - Input'!$D$22=1,N49,S49)</f>
        <v>Deckschichtmoment</v>
      </c>
      <c r="C28" s="219" t="s">
        <v>273</v>
      </c>
      <c r="D28" s="220" t="s">
        <v>100</v>
      </c>
      <c r="E28" s="215">
        <f>IF('Eingabe - Input'!$R$24=1,'Schnittgrößen (g,T)'!C50,'eben - flat Schnittgrößen (g,T)'!C69)</f>
        <v>2.2186859357142812E-2</v>
      </c>
      <c r="F28" s="215">
        <f>E28*$O$69</f>
        <v>-2.2186859357142812E-2</v>
      </c>
      <c r="G28" s="216">
        <f>E28*$O$70</f>
        <v>-1.1093429678571406E-2</v>
      </c>
      <c r="H28" s="252"/>
      <c r="I28" s="253"/>
      <c r="L28" s="259"/>
      <c r="M28" s="255"/>
      <c r="N28" s="254" t="s">
        <v>47</v>
      </c>
      <c r="S28" s="258" t="s">
        <v>64</v>
      </c>
    </row>
    <row r="29" spans="1:21" s="254" customFormat="1" ht="21">
      <c r="A29" s="249"/>
      <c r="B29" s="212" t="str">
        <f>IF('Eingabe - Input'!$D$22=1,N50,S50)</f>
        <v>Deckschichtmoment</v>
      </c>
      <c r="C29" s="219" t="s">
        <v>274</v>
      </c>
      <c r="D29" s="220" t="s">
        <v>100</v>
      </c>
      <c r="E29" s="215">
        <f>IF('Eingabe - Input'!$R$24=1,'Schnittgrößen (g,T)'!C51,'eben - flat Schnittgrößen (g,T)'!C70)</f>
        <v>0</v>
      </c>
      <c r="F29" s="215">
        <f>E29*$O$69</f>
        <v>0</v>
      </c>
      <c r="G29" s="216">
        <f>E29*$O$70</f>
        <v>0</v>
      </c>
      <c r="H29" s="252"/>
      <c r="I29" s="253"/>
      <c r="L29" s="259"/>
      <c r="M29" s="255"/>
      <c r="N29" s="254" t="s">
        <v>47</v>
      </c>
      <c r="S29" s="258" t="s">
        <v>65</v>
      </c>
    </row>
    <row r="30" spans="1:21" s="254" customFormat="1" ht="21">
      <c r="A30" s="249"/>
      <c r="B30" s="212" t="str">
        <f>IF('Eingabe - Input'!$D$22=1,N51,S51)</f>
        <v>Querkraft in der Kernschicht</v>
      </c>
      <c r="C30" s="219" t="s">
        <v>275</v>
      </c>
      <c r="D30" s="220" t="s">
        <v>102</v>
      </c>
      <c r="E30" s="215">
        <f>IF('Eingabe - Input'!$R$24=1,'Schnittgrößen (g,T)'!C52,'eben - flat Schnittgrößen (g,T)'!C71)</f>
        <v>-1.0576829111979165</v>
      </c>
      <c r="F30" s="215">
        <f>E30*$O$69</f>
        <v>1.0576829111979165</v>
      </c>
      <c r="G30" s="216">
        <f>E30*$O$70</f>
        <v>0.52884145559895823</v>
      </c>
      <c r="H30" s="252"/>
      <c r="I30" s="253"/>
      <c r="L30" s="259"/>
      <c r="M30" s="255"/>
      <c r="N30" s="254" t="s">
        <v>48</v>
      </c>
      <c r="S30" s="260" t="s">
        <v>258</v>
      </c>
    </row>
    <row r="31" spans="1:21" s="254" customFormat="1" ht="21">
      <c r="A31" s="249"/>
      <c r="B31" s="212" t="str">
        <f>IF('Eingabe - Input'!$D$22=1,N52,S52)</f>
        <v>Querkraft in Deckschicht</v>
      </c>
      <c r="C31" s="219" t="s">
        <v>276</v>
      </c>
      <c r="D31" s="220" t="s">
        <v>102</v>
      </c>
      <c r="E31" s="215" t="str">
        <f>IF('Eingabe - Input'!$M$58=2,"",IF('Eingabe - Input'!$R$24=1,'Schnittgrößen (g,T)'!C53,'eben - flat Schnittgrößen (g,T)'!C72))</f>
        <v/>
      </c>
      <c r="F31" s="215" t="str">
        <f>IF('Eingabe - Input'!$M$58=1,E31*$O$69,IF('Eingabe - Input'!$M$58=2,"",""))</f>
        <v/>
      </c>
      <c r="G31" s="216" t="str">
        <f>IF('Eingabe - Input'!$M$58=1,E31*$O$70,IF('Eingabe - Input'!$M$58=2,"",""))</f>
        <v/>
      </c>
      <c r="H31" s="252"/>
      <c r="I31" s="253"/>
      <c r="L31" s="259"/>
      <c r="M31" s="255"/>
      <c r="N31" s="254" t="s">
        <v>243</v>
      </c>
      <c r="S31" s="260" t="s">
        <v>68</v>
      </c>
    </row>
    <row r="32" spans="1:21" s="254" customFormat="1" ht="21">
      <c r="A32" s="249"/>
      <c r="B32" s="212" t="str">
        <f>IF('Eingabe - Input'!$D$22=1,N53,S53)</f>
        <v>Querkraft in Deckschicht</v>
      </c>
      <c r="C32" s="219" t="s">
        <v>277</v>
      </c>
      <c r="D32" s="220" t="s">
        <v>102</v>
      </c>
      <c r="E32" s="215" t="str">
        <f>IF('Eingabe - Input'!$M$58=2,"",IF('Eingabe - Input'!$R$24=1,'Schnittgrößen (g,T)'!C54,'eben - flat Schnittgrößen (g,T)'!C73))</f>
        <v/>
      </c>
      <c r="F32" s="215" t="str">
        <f>IF('Eingabe - Input'!$M$58=1,E32*$O$69,IF('Eingabe - Input'!$M$58=2,"",""))</f>
        <v/>
      </c>
      <c r="G32" s="216" t="str">
        <f>IF('Eingabe - Input'!$M$58=1,E32*$O$70,IF('Eingabe - Input'!$M$58=2,"",""))</f>
        <v/>
      </c>
      <c r="H32" s="252"/>
      <c r="I32" s="253"/>
      <c r="L32" s="259"/>
      <c r="M32" s="255"/>
      <c r="N32" s="254" t="s">
        <v>244</v>
      </c>
      <c r="S32" s="260" t="s">
        <v>69</v>
      </c>
    </row>
    <row r="33" spans="1:21" s="254" customFormat="1" ht="21">
      <c r="A33" s="249"/>
      <c r="B33" s="212" t="str">
        <f>IF('Eingabe - Input'!$D$22=1,N54,S54)</f>
        <v>Endauflagerkraft</v>
      </c>
      <c r="C33" s="219" t="s">
        <v>278</v>
      </c>
      <c r="D33" s="220" t="s">
        <v>102</v>
      </c>
      <c r="E33" s="215">
        <f>IF('Eingabe - Input'!$R$24=1,'Schnittgrößen (g,T)'!C55,'eben - flat Schnittgrößen (g,T)'!C74)</f>
        <v>1.0576829111979165</v>
      </c>
      <c r="F33" s="215">
        <f>E33*$O$69</f>
        <v>-1.0576829111979165</v>
      </c>
      <c r="G33" s="216">
        <f>E33*$O$70</f>
        <v>-0.52884145559895823</v>
      </c>
      <c r="H33" s="252"/>
      <c r="I33" s="253"/>
      <c r="L33" s="259"/>
      <c r="M33" s="255"/>
      <c r="N33" s="254" t="s">
        <v>55</v>
      </c>
      <c r="S33" s="260" t="s">
        <v>70</v>
      </c>
    </row>
    <row r="34" spans="1:21" s="254" customFormat="1" ht="21">
      <c r="A34" s="249"/>
      <c r="B34" s="212" t="str">
        <f>IF('Eingabe - Input'!$D$22=1,N55,S55)</f>
        <v>Zwischenauflagerkraft</v>
      </c>
      <c r="C34" s="219" t="s">
        <v>279</v>
      </c>
      <c r="D34" s="220" t="s">
        <v>102</v>
      </c>
      <c r="E34" s="215">
        <f>IF('Eingabe - Input'!$M$58=1,"",IF('Eingabe - Input'!$M$58=2,IF('Eingabe - Input'!$R$24=1,'Schnittgrößen (g,T)'!C56,'eben - flat Schnittgrößen (g,T)'!C75),""))</f>
        <v>-2.1153658223958329</v>
      </c>
      <c r="F34" s="215">
        <f>IF('Eingabe - Input'!$M$58=1,"",IF('Eingabe - Input'!$M$58=2,E34*$O$69,""))</f>
        <v>2.1153658223958329</v>
      </c>
      <c r="G34" s="216">
        <f>IF('Eingabe - Input'!$M$58=1,"",IF('Eingabe - Input'!$M$58=2,E34*$O$70,""))</f>
        <v>1.0576829111979165</v>
      </c>
      <c r="H34" s="252"/>
      <c r="I34" s="253"/>
      <c r="L34" s="259"/>
      <c r="M34" s="255"/>
      <c r="N34" s="254" t="s">
        <v>56</v>
      </c>
      <c r="S34" s="258" t="s">
        <v>71</v>
      </c>
    </row>
    <row r="35" spans="1:21" s="254" customFormat="1" ht="21">
      <c r="A35" s="249"/>
      <c r="B35" s="212" t="str">
        <f>IF('Eingabe - Input'!$D$22=1,N56,S56)</f>
        <v>Normalspannungen oberes Deckblech außen</v>
      </c>
      <c r="C35" s="225" t="s">
        <v>280</v>
      </c>
      <c r="D35" s="220" t="s">
        <v>90</v>
      </c>
      <c r="E35" s="215">
        <f>IF('Eingabe - Input'!$R$24=1,'Schnittgrößen (g,T)'!C57,'eben - flat Schnittgrößen (g,T)'!C77)</f>
        <v>-48.876861459340873</v>
      </c>
      <c r="F35" s="215">
        <f t="shared" ref="F35:F40" si="4">E35*$O$69</f>
        <v>48.876861459340873</v>
      </c>
      <c r="G35" s="216">
        <f>E35*$O$70</f>
        <v>24.438430729670436</v>
      </c>
      <c r="H35" s="252"/>
      <c r="I35" s="253"/>
      <c r="L35" s="259"/>
      <c r="M35" s="255"/>
      <c r="N35" s="254" t="s">
        <v>72</v>
      </c>
      <c r="S35" s="258" t="s">
        <v>319</v>
      </c>
    </row>
    <row r="36" spans="1:21" s="254" customFormat="1" ht="21">
      <c r="A36" s="249"/>
      <c r="B36" s="212" t="str">
        <f>IF('Eingabe - Input'!$D$22=1,N57,S57)</f>
        <v>Normalspannungen oberes Deckblech innen</v>
      </c>
      <c r="C36" s="225" t="s">
        <v>281</v>
      </c>
      <c r="D36" s="220" t="s">
        <v>90</v>
      </c>
      <c r="E36" s="215">
        <f>IF('Eingabe - Input'!$R$24=1,'Schnittgrößen (g,T)'!C58,'eben - flat Schnittgrößen (g,T)'!C77)</f>
        <v>-48.876861459340873</v>
      </c>
      <c r="F36" s="215">
        <f t="shared" si="4"/>
        <v>48.876861459340873</v>
      </c>
      <c r="G36" s="216">
        <f t="shared" ref="G36:G40" si="5">E36*$O$70</f>
        <v>24.438430729670436</v>
      </c>
      <c r="H36" s="252"/>
      <c r="I36" s="253"/>
      <c r="L36" s="259"/>
      <c r="M36" s="255"/>
      <c r="N36" s="254" t="s">
        <v>73</v>
      </c>
      <c r="S36" s="258" t="s">
        <v>320</v>
      </c>
    </row>
    <row r="37" spans="1:21" s="254" customFormat="1" ht="21">
      <c r="A37" s="249"/>
      <c r="B37" s="212" t="str">
        <f>IF('Eingabe - Input'!$D$22=1,N58,S58)</f>
        <v>Normalspannungen unteres Deckblech innen</v>
      </c>
      <c r="C37" s="225" t="s">
        <v>282</v>
      </c>
      <c r="D37" s="220" t="s">
        <v>90</v>
      </c>
      <c r="E37" s="215">
        <f>IF('Eingabe - Input'!$R$24=1,'Schnittgrößen (g,T)'!C59,'eben - flat Schnittgrößen (g,T)'!C78)</f>
        <v>59.960049998873956</v>
      </c>
      <c r="F37" s="215">
        <f t="shared" si="4"/>
        <v>-59.960049998873956</v>
      </c>
      <c r="G37" s="216">
        <f t="shared" si="5"/>
        <v>-29.980024999436978</v>
      </c>
      <c r="H37" s="252"/>
      <c r="I37" s="253"/>
      <c r="L37" s="259"/>
      <c r="M37" s="255"/>
      <c r="N37" s="254" t="s">
        <v>146</v>
      </c>
      <c r="S37" s="258" t="s">
        <v>321</v>
      </c>
    </row>
    <row r="38" spans="1:21" s="254" customFormat="1" ht="21">
      <c r="A38" s="249"/>
      <c r="B38" s="212" t="str">
        <f>IF('Eingabe - Input'!$D$22=1,N59,S59)</f>
        <v>Normalspannungen unteres Deckblech außen</v>
      </c>
      <c r="C38" s="225" t="s">
        <v>283</v>
      </c>
      <c r="D38" s="220" t="s">
        <v>90</v>
      </c>
      <c r="E38" s="215">
        <f>IF('Eingabe - Input'!$R$24=1,'Schnittgrößen (g,T)'!C60,'eben - flat Schnittgrößen (g,T)'!C78)</f>
        <v>59.960049998873956</v>
      </c>
      <c r="F38" s="215">
        <f t="shared" si="4"/>
        <v>-59.960049998873956</v>
      </c>
      <c r="G38" s="216">
        <f t="shared" si="5"/>
        <v>-29.980024999436978</v>
      </c>
      <c r="H38" s="252"/>
      <c r="I38" s="253"/>
      <c r="L38" s="259"/>
      <c r="M38" s="255"/>
      <c r="N38" s="254" t="s">
        <v>147</v>
      </c>
      <c r="S38" s="258" t="s">
        <v>322</v>
      </c>
    </row>
    <row r="39" spans="1:21" s="254" customFormat="1" ht="21">
      <c r="A39" s="249"/>
      <c r="B39" s="212" t="str">
        <f>IF('Eingabe - Input'!$D$22=1,N60,S60)</f>
        <v>Schubspannung im Kern</v>
      </c>
      <c r="C39" s="225" t="s">
        <v>284</v>
      </c>
      <c r="D39" s="220" t="s">
        <v>90</v>
      </c>
      <c r="E39" s="227">
        <f>IF('Eingabe - Input'!$R$24=1,'Schnittgrößen (g,T)'!C61,'eben - flat Schnittgrößen (g,T)'!C79)</f>
        <v>-1.3361330358740734E-2</v>
      </c>
      <c r="F39" s="227">
        <f>E39*$O$69</f>
        <v>1.3361330358740734E-2</v>
      </c>
      <c r="G39" s="228">
        <f t="shared" si="5"/>
        <v>6.6806651793703672E-3</v>
      </c>
      <c r="H39" s="252"/>
      <c r="I39" s="253"/>
      <c r="L39" s="261"/>
      <c r="M39" s="255"/>
      <c r="N39" s="254" t="s">
        <v>63</v>
      </c>
      <c r="S39" s="258" t="s">
        <v>78</v>
      </c>
    </row>
    <row r="40" spans="1:21" s="254" customFormat="1" ht="21">
      <c r="A40" s="249"/>
      <c r="B40" s="212" t="str">
        <f>IF('Eingabe - Input'!$D$22=1,N61,S61)</f>
        <v>maximale Durchbiegung</v>
      </c>
      <c r="C40" s="219" t="s">
        <v>285</v>
      </c>
      <c r="D40" s="229" t="s">
        <v>103</v>
      </c>
      <c r="E40" s="217">
        <f>IF('Eingabe - Input'!$R$24=1,'Durchbiegung (g+T)'!$D$59,'eben - flat Schnittgrößen (g,T)'!C76)</f>
        <v>-0.14117419568917935</v>
      </c>
      <c r="F40" s="215">
        <f t="shared" si="4"/>
        <v>0.14117419568917935</v>
      </c>
      <c r="G40" s="216">
        <f t="shared" si="5"/>
        <v>7.0587097844589677E-2</v>
      </c>
      <c r="H40" s="252"/>
      <c r="I40" s="253"/>
      <c r="L40" s="261"/>
      <c r="M40" s="255"/>
      <c r="N40" s="254" t="s">
        <v>229</v>
      </c>
      <c r="S40" s="258" t="s">
        <v>232</v>
      </c>
    </row>
    <row r="41" spans="1:21" s="254" customFormat="1" ht="21">
      <c r="A41" s="249"/>
      <c r="B41" s="212" t="str">
        <f>IF('Eingabe - Input'!$D$22=1,N60,S60)</f>
        <v>Schubspannung im Kern</v>
      </c>
      <c r="C41" s="230" t="s">
        <v>286</v>
      </c>
      <c r="D41" s="229" t="s">
        <v>108</v>
      </c>
      <c r="E41" s="217">
        <f>IF(('Eingabe - Input'!$M$67-'Eingabe - Input'!$M$66)=0,"",IF('Eingabe - Input'!$R$24=1,'Durchbiegung (g+T)'!$D$60,"*"))</f>
        <v>0.4</v>
      </c>
      <c r="F41" s="217">
        <f>IF(('Eingabe - Input'!$M$67-'Eingabe - Input'!$M$66)=0,"",IF('Eingabe - Input'!$R$24=1,'Durchbiegung (g+T)'!$D$60,"*"))</f>
        <v>0.4</v>
      </c>
      <c r="G41" s="217">
        <f>IF(('Eingabe - Input'!$M$69-'Eingabe - Input'!$M$68)=0,"",IF('Eingabe - Input'!$R$24=1,'Durchbiegung (g+T)'!$D$60,"*"))</f>
        <v>0.4</v>
      </c>
      <c r="H41" s="262"/>
      <c r="I41" s="253"/>
      <c r="L41" s="261"/>
      <c r="M41" s="255"/>
      <c r="N41" s="254" t="s">
        <v>230</v>
      </c>
      <c r="S41" s="254" t="s">
        <v>234</v>
      </c>
    </row>
    <row r="42" spans="1:21" s="254" customFormat="1" ht="21">
      <c r="A42" s="249"/>
      <c r="B42" s="212" t="str">
        <f>IF('Eingabe - Input'!$D$22=1,N61,S61)</f>
        <v>maximale Durchbiegung</v>
      </c>
      <c r="C42" s="219" t="s">
        <v>287</v>
      </c>
      <c r="D42" s="229" t="s">
        <v>103</v>
      </c>
      <c r="E42" s="217">
        <f>IF('Eingabe - Input'!$R$24=1,'Durchbiegung (g+T)'!$D$58,"")</f>
        <v>-0.13578162173955777</v>
      </c>
      <c r="F42" s="217">
        <f>IF('Eingabe - Input'!$R$24=1,E42*$O$69,"")</f>
        <v>0.13578162173955777</v>
      </c>
      <c r="G42" s="217">
        <f>IF('Eingabe - Input'!$R$24=1,E42*$O$70,"")</f>
        <v>6.7890810869778884E-2</v>
      </c>
      <c r="H42" s="262"/>
      <c r="I42" s="253"/>
      <c r="L42" s="261"/>
      <c r="M42" s="255"/>
      <c r="N42" s="254" t="s">
        <v>231</v>
      </c>
      <c r="S42" s="254" t="s">
        <v>233</v>
      </c>
    </row>
    <row r="43" spans="1:21" s="254" customFormat="1" ht="18">
      <c r="B43" s="241"/>
      <c r="C43" s="263"/>
      <c r="D43" s="264"/>
      <c r="E43" s="265" t="str">
        <f>IF('Eingabe - Input'!R24=1,"",'eben - flat Schnittgrößen (g,T)'!E76)</f>
        <v/>
      </c>
      <c r="F43" s="265"/>
      <c r="G43" s="265"/>
      <c r="H43" s="265"/>
      <c r="I43" s="266"/>
      <c r="J43" s="267"/>
      <c r="K43" s="268"/>
      <c r="L43" s="261"/>
      <c r="M43" s="257"/>
      <c r="N43" s="269"/>
      <c r="O43" s="269"/>
    </row>
    <row r="44" spans="1:21" s="254" customFormat="1" ht="18">
      <c r="B44" s="270"/>
      <c r="C44" s="271"/>
      <c r="D44" s="272"/>
      <c r="E44" s="273"/>
      <c r="F44" s="273"/>
      <c r="G44" s="273"/>
      <c r="H44" s="274"/>
      <c r="I44" s="275"/>
      <c r="J44" s="268"/>
      <c r="K44" s="268"/>
      <c r="L44" s="261"/>
      <c r="N44" s="256" t="s">
        <v>199</v>
      </c>
    </row>
    <row r="45" spans="1:21" s="254" customFormat="1" ht="18">
      <c r="A45" s="249"/>
      <c r="B45" s="509" t="str">
        <f>IF('Eingabe - Input'!$D$22=1,N44,R45)</f>
        <v>Schnittgröße</v>
      </c>
      <c r="C45" s="276"/>
      <c r="D45" s="512" t="str">
        <f>IF('Eingabe - Input'!$D$22=1,N45,S45)</f>
        <v>Einheit</v>
      </c>
      <c r="E45" s="515" t="str">
        <f>IF('Eingabe - Input'!$D$22=1,O45,T45)</f>
        <v>Kriechen</v>
      </c>
      <c r="F45" s="515" t="str">
        <f>IF('Eingabe - Input'!$D$22=1,O45,T45)</f>
        <v>Kriechen</v>
      </c>
      <c r="G45" s="518" t="str">
        <f>IF('Eingabe - Input'!$D$22=1,O47,T47)</f>
        <v>Diferenzkräfte/ -spannungen/ -verformungen</v>
      </c>
      <c r="H45" s="519">
        <f>IF($D$16=1,R45,W45)</f>
        <v>0</v>
      </c>
      <c r="I45" s="277"/>
      <c r="J45" s="278"/>
      <c r="K45" s="279"/>
      <c r="L45" s="257"/>
      <c r="N45" s="254" t="s">
        <v>200</v>
      </c>
      <c r="O45" s="280" t="s">
        <v>227</v>
      </c>
      <c r="P45" s="280"/>
      <c r="R45" s="258" t="s">
        <v>217</v>
      </c>
      <c r="S45" s="254" t="s">
        <v>218</v>
      </c>
      <c r="T45" s="254" t="s">
        <v>228</v>
      </c>
    </row>
    <row r="46" spans="1:21" s="254" customFormat="1" ht="18">
      <c r="A46" s="249"/>
      <c r="B46" s="510"/>
      <c r="C46" s="281"/>
      <c r="D46" s="513"/>
      <c r="E46" s="516"/>
      <c r="F46" s="517"/>
      <c r="G46" s="282" t="str">
        <f>IF('Eingabe - Input'!$D$22=1,O45,T45)</f>
        <v>Kriechen</v>
      </c>
      <c r="H46" s="283" t="str">
        <f>IF('Eingabe - Input'!$D$22=1,O45,T45)</f>
        <v>Kriechen</v>
      </c>
      <c r="I46" s="277"/>
      <c r="J46" s="268"/>
      <c r="K46" s="279"/>
      <c r="L46" s="257"/>
      <c r="M46" s="256"/>
      <c r="N46" s="256"/>
      <c r="O46" s="280"/>
      <c r="P46" s="280"/>
      <c r="Q46" s="257"/>
      <c r="R46" s="258"/>
    </row>
    <row r="47" spans="1:21" s="254" customFormat="1" ht="16.5" customHeight="1" thickBot="1">
      <c r="A47" s="249"/>
      <c r="B47" s="511"/>
      <c r="C47" s="284"/>
      <c r="D47" s="514"/>
      <c r="E47" s="285" t="s">
        <v>291</v>
      </c>
      <c r="F47" s="286" t="s">
        <v>292</v>
      </c>
      <c r="G47" s="287" t="s">
        <v>293</v>
      </c>
      <c r="H47" s="288" t="s">
        <v>294</v>
      </c>
      <c r="I47" s="289"/>
      <c r="J47" s="268"/>
      <c r="K47" s="279"/>
      <c r="L47" s="257"/>
      <c r="M47" s="256"/>
      <c r="N47" s="256"/>
      <c r="O47" s="508" t="s">
        <v>221</v>
      </c>
      <c r="P47" s="508"/>
      <c r="Q47" s="257"/>
      <c r="R47" s="258"/>
      <c r="T47" s="508" t="s">
        <v>226</v>
      </c>
      <c r="U47" s="508"/>
    </row>
    <row r="48" spans="1:21" s="254" customFormat="1" ht="21">
      <c r="A48" s="249"/>
      <c r="B48" s="290" t="str">
        <f>IF('Eingabe - Input'!$D$22=1,N48,S48)</f>
        <v>Sandwichmoment</v>
      </c>
      <c r="C48" s="213" t="s">
        <v>272</v>
      </c>
      <c r="D48" s="214" t="s">
        <v>100</v>
      </c>
      <c r="E48" s="215">
        <f>IF('Eingabe - Input'!$R$24=1,'Schnittgrößen (gt)'!C34*$O$65,'eben - flat Schnittgrößen (gt)'!C51*$O$65)</f>
        <v>-1.308704378695642E-2</v>
      </c>
      <c r="F48" s="215">
        <f>IF('Eingabe - Input'!$R$24=1,'Schnittgrößen (st)'!C34,'eben - flat Schnittgrößen (st)'!C51)</f>
        <v>-0.26041617172442361</v>
      </c>
      <c r="G48" s="291">
        <f>-1*(E8-E48)</f>
        <v>2.829608286665038E-2</v>
      </c>
      <c r="H48" s="292">
        <f t="shared" ref="H48:H51" si="6">-1*(F8-F48)</f>
        <v>0.18790103368965011</v>
      </c>
      <c r="I48" s="293"/>
      <c r="J48" s="294"/>
      <c r="K48" s="279"/>
      <c r="L48" s="257"/>
      <c r="N48" s="254" t="s">
        <v>46</v>
      </c>
      <c r="O48" s="295"/>
      <c r="P48" s="295"/>
      <c r="Q48" s="257"/>
      <c r="S48" s="258" t="s">
        <v>66</v>
      </c>
      <c r="T48" s="295"/>
      <c r="U48" s="295"/>
    </row>
    <row r="49" spans="1:19" s="254" customFormat="1" ht="21">
      <c r="A49" s="249"/>
      <c r="B49" s="290" t="str">
        <f>IF('Eingabe - Input'!$D$22=1,N49,S49)</f>
        <v>Deckschichtmoment</v>
      </c>
      <c r="C49" s="219" t="s">
        <v>273</v>
      </c>
      <c r="D49" s="220" t="s">
        <v>100</v>
      </c>
      <c r="E49" s="215">
        <f>IF('Eingabe - Input'!$R$24=1,'Schnittgrößen (gt)'!C35*$O$65,'eben - flat Schnittgrößen (gt)'!C52*$O$65)</f>
        <v>-7.271256634733398E-3</v>
      </c>
      <c r="F49" s="215">
        <f>IF('Eingabe - Input'!$R$24=1,'Schnittgrößen (st)'!C35,'eben - flat Schnittgrößen (st)'!C52)</f>
        <v>-5.4334751365866678E-2</v>
      </c>
      <c r="G49" s="291">
        <f t="shared" ref="G49:G51" si="7">-1*(E9-E49)</f>
        <v>-4.3234822567459179E-3</v>
      </c>
      <c r="H49" s="292">
        <f t="shared" si="6"/>
        <v>-2.240052893766898E-2</v>
      </c>
      <c r="I49" s="293"/>
      <c r="J49" s="294"/>
      <c r="K49" s="279"/>
      <c r="L49" s="257"/>
      <c r="N49" s="254" t="s">
        <v>47</v>
      </c>
      <c r="O49" s="269"/>
      <c r="P49" s="269"/>
      <c r="S49" s="258" t="s">
        <v>64</v>
      </c>
    </row>
    <row r="50" spans="1:19" s="254" customFormat="1" ht="21">
      <c r="A50" s="249"/>
      <c r="B50" s="290" t="str">
        <f>IF('Eingabe - Input'!$D$22=1,N50,S50)</f>
        <v>Deckschichtmoment</v>
      </c>
      <c r="C50" s="219" t="s">
        <v>274</v>
      </c>
      <c r="D50" s="220" t="s">
        <v>100</v>
      </c>
      <c r="E50" s="215">
        <f>IF('Eingabe - Input'!$R$24=1,'Schnittgrößen (gt)'!C36*$O$65,'eben - flat Schnittgrößen (gt)'!C53*$O$65)</f>
        <v>0</v>
      </c>
      <c r="F50" s="215">
        <f>IF('Eingabe - Input'!$R$24=1,'Schnittgrößen (st)'!C36,'eben - flat Schnittgrößen (st)'!C53)</f>
        <v>0</v>
      </c>
      <c r="G50" s="291">
        <f t="shared" si="7"/>
        <v>0</v>
      </c>
      <c r="H50" s="292">
        <f t="shared" si="6"/>
        <v>0</v>
      </c>
      <c r="I50" s="293"/>
      <c r="J50" s="294"/>
      <c r="K50" s="279"/>
      <c r="L50" s="257"/>
      <c r="N50" s="254" t="s">
        <v>47</v>
      </c>
      <c r="S50" s="258" t="s">
        <v>65</v>
      </c>
    </row>
    <row r="51" spans="1:19" s="254" customFormat="1" ht="21">
      <c r="A51" s="249"/>
      <c r="B51" s="290" t="str">
        <f>IF('Eingabe - Input'!$D$22=1,N51,S51)</f>
        <v>Querkraft in der Kernschicht</v>
      </c>
      <c r="C51" s="219" t="s">
        <v>275</v>
      </c>
      <c r="D51" s="220" t="s">
        <v>102</v>
      </c>
      <c r="E51" s="215">
        <f>IF('Eingabe - Input'!$R$24=1,'Schnittgrößen (gt)'!C37*$O$65,'eben - flat Schnittgrößen (gt)'!C54*$O$65)</f>
        <v>0.12239630893585213</v>
      </c>
      <c r="F51" s="215">
        <f>IF('Eingabe - Input'!$R$24=1,'Schnittgrößen (st)'!C37,'eben - flat Schnittgrößen (st)'!C54)</f>
        <v>1.4001367303417189</v>
      </c>
      <c r="G51" s="291">
        <f t="shared" si="7"/>
        <v>-1.6684988572154391E-2</v>
      </c>
      <c r="H51" s="292">
        <f t="shared" si="6"/>
        <v>-0.10657732599501868</v>
      </c>
      <c r="I51" s="293"/>
      <c r="J51" s="294"/>
      <c r="K51" s="279"/>
      <c r="L51" s="257"/>
      <c r="N51" s="254" t="s">
        <v>48</v>
      </c>
      <c r="S51" s="260" t="s">
        <v>258</v>
      </c>
    </row>
    <row r="52" spans="1:19" s="254" customFormat="1" ht="21">
      <c r="A52" s="249"/>
      <c r="B52" s="290" t="str">
        <f>IF('Eingabe - Input'!$D$22=1,N52,S52)</f>
        <v>Querkraft in Deckschicht</v>
      </c>
      <c r="C52" s="219" t="s">
        <v>276</v>
      </c>
      <c r="D52" s="220" t="s">
        <v>102</v>
      </c>
      <c r="E52" s="215" t="str">
        <f>IF('Eingabe - Input'!$R$24=1,IF('Eingabe - Input'!$M$58=1,'Schnittgrößen (gt)'!C38*$O$65,IF('Eingabe - Input'!$M$58=2,"","")),IF('Eingabe - Input'!$M$58=1,'eben - flat Schnittgrößen (gt)'!C55,""))</f>
        <v/>
      </c>
      <c r="F52" s="215" t="str">
        <f>IF('Eingabe - Input'!$R$24=1,'Schnittgrößen (st)'!C38,IF('Eingabe - Input'!$M$58=1,'eben - flat Schnittgrößen (st)'!C55,""))</f>
        <v/>
      </c>
      <c r="G52" s="291" t="str">
        <f>IF('Eingabe - Input'!$M$58=1,-1*(E12-E52),IF('Eingabe - Input'!$M$58=2,"",""))</f>
        <v/>
      </c>
      <c r="H52" s="292" t="str">
        <f>IF('Eingabe - Input'!$M$58=1,-1*(F12-F52),IF('Eingabe - Input'!$M$58=2,"",""))</f>
        <v/>
      </c>
      <c r="I52" s="293"/>
      <c r="J52" s="294"/>
      <c r="K52" s="279"/>
      <c r="L52" s="257"/>
      <c r="N52" s="254" t="s">
        <v>54</v>
      </c>
      <c r="S52" s="260" t="s">
        <v>68</v>
      </c>
    </row>
    <row r="53" spans="1:19" s="254" customFormat="1" ht="21">
      <c r="A53" s="249"/>
      <c r="B53" s="290" t="str">
        <f>IF('Eingabe - Input'!$D$22=1,N53,S53)</f>
        <v>Querkraft in Deckschicht</v>
      </c>
      <c r="C53" s="219" t="s">
        <v>277</v>
      </c>
      <c r="D53" s="220" t="s">
        <v>102</v>
      </c>
      <c r="E53" s="215" t="str">
        <f>IF('Eingabe - Input'!$R$24=1,IF('Eingabe - Input'!$M$58=1,'Schnittgrößen (gt)'!C39*$O$65,IF('Eingabe - Input'!$M$58=2,"","")),IF('Eingabe - Input'!$M$58=1,'eben - flat Schnittgrößen (gt)'!C56,""))</f>
        <v/>
      </c>
      <c r="F53" s="215" t="str">
        <f>IF('Eingabe - Input'!$R$24=1,'Schnittgrößen (st)'!C39,IF('Eingabe - Input'!$M$58=1,'eben - flat Schnittgrößen (st)'!C56,""))</f>
        <v/>
      </c>
      <c r="G53" s="291" t="str">
        <f>IF('Eingabe - Input'!$M$58=1,-1*(E13-E53),IF('Eingabe - Input'!$M$58=2,"",""))</f>
        <v/>
      </c>
      <c r="H53" s="292" t="str">
        <f>IF('Eingabe - Input'!$M$58=1,-1*(F13-F53),IF('Eingabe - Input'!$M$58=2,"",""))</f>
        <v/>
      </c>
      <c r="I53" s="293"/>
      <c r="J53" s="294"/>
      <c r="K53" s="279"/>
      <c r="L53" s="257"/>
      <c r="N53" s="254" t="s">
        <v>54</v>
      </c>
      <c r="S53" s="260" t="s">
        <v>69</v>
      </c>
    </row>
    <row r="54" spans="1:19" s="254" customFormat="1" ht="21">
      <c r="A54" s="249"/>
      <c r="B54" s="290" t="str">
        <f>IF('Eingabe - Input'!$D$22=1,N54,S54)</f>
        <v>Endauflagerkraft</v>
      </c>
      <c r="C54" s="219" t="s">
        <v>278</v>
      </c>
      <c r="D54" s="220" t="s">
        <v>102</v>
      </c>
      <c r="E54" s="215">
        <f>IF('Eingabe - Input'!$R$24=1,'Schnittgrößen (gt)'!C40*$O$65,'eben - flat Schnittgrößen (gt)'!C57*$O$65)</f>
        <v>0.10982084978915507</v>
      </c>
      <c r="F54" s="215">
        <f>IF('Eingabe - Input'!$R$24=1,'Schnittgrößen (st)'!C40,'eben - flat Schnittgrößen (st)'!C57)</f>
        <v>1.142624538454855</v>
      </c>
      <c r="G54" s="291">
        <f>-1*(E14-E54)</f>
        <v>1.1986300304952222E-2</v>
      </c>
      <c r="H54" s="292">
        <f>-1*(F14-F54)</f>
        <v>8.2750252375990652E-2</v>
      </c>
      <c r="I54" s="293"/>
      <c r="J54" s="294"/>
      <c r="K54" s="279"/>
      <c r="L54" s="257"/>
      <c r="N54" s="254" t="s">
        <v>55</v>
      </c>
      <c r="S54" s="260" t="s">
        <v>70</v>
      </c>
    </row>
    <row r="55" spans="1:19" s="254" customFormat="1" ht="21">
      <c r="A55" s="249"/>
      <c r="B55" s="290" t="str">
        <f>IF('Eingabe - Input'!$D$22=1,N55,S55)</f>
        <v>Zwischenauflagerkraft</v>
      </c>
      <c r="C55" s="219" t="s">
        <v>279</v>
      </c>
      <c r="D55" s="220" t="s">
        <v>102</v>
      </c>
      <c r="E55" s="215">
        <f>IF('Eingabe - Input'!$M$58=1,"",IF('Eingabe - Input'!$M$58=2,IF('Eingabe - Input'!$R$24=1,'Schnittgrößen (gt)'!C41*$O$65,'eben - flat Schnittgrößen (gt)'!C58*$O$65),""))</f>
        <v>0.26035830042168984</v>
      </c>
      <c r="F55" s="215">
        <f>IF('Eingabe - Input'!$M$58=1,"",IF('Eingabe - Input'!$M$58=2,IF('Eingabe - Input'!$R$24=1,'Schnittgrößen (st)'!C41,'eben - flat Schnittgrößen (st)'!C58),""))</f>
        <v>2.9147509230902902</v>
      </c>
      <c r="G55" s="291">
        <f>IF('Eingabe - Input'!$M$58=1,"",IF('Eingabe - Input'!$M$58=2,-1*(E15-E55),""))</f>
        <v>-2.3972600609904415E-2</v>
      </c>
      <c r="H55" s="292">
        <f>IF('Eingabe - Input'!$M$58=1,"",IF('Eingabe - Input'!$M$58=2,-1*(F15-F55),""))</f>
        <v>-0.1655005047519813</v>
      </c>
      <c r="I55" s="296"/>
      <c r="J55" s="294"/>
      <c r="K55" s="279"/>
      <c r="L55" s="257"/>
      <c r="N55" s="254" t="s">
        <v>56</v>
      </c>
      <c r="S55" s="258" t="s">
        <v>71</v>
      </c>
    </row>
    <row r="56" spans="1:19" s="254" customFormat="1" ht="21">
      <c r="A56" s="249"/>
      <c r="B56" s="290" t="str">
        <f>IF('Eingabe - Input'!$D$22=1,N56,S56)</f>
        <v>Normalspannungen oberes Deckblech außen</v>
      </c>
      <c r="C56" s="225" t="s">
        <v>280</v>
      </c>
      <c r="D56" s="220" t="s">
        <v>90</v>
      </c>
      <c r="E56" s="215">
        <f>IF('Eingabe - Input'!$R$24=1,'Schnittgrößen (gt)'!C42*$O$65,'eben - flat Schnittgrößen (gt)'!C60*$O$65)</f>
        <v>1.4138438804393336</v>
      </c>
      <c r="F56" s="215">
        <f>IF('Eingabe - Input'!$R$24=1,'Schnittgrößen (st)'!C42,'eben - flat Schnittgrößen (st)'!C60)</f>
        <v>14.362332596452429</v>
      </c>
      <c r="G56" s="291">
        <f>-1*(E16-E56)</f>
        <v>0.44752547961499423</v>
      </c>
      <c r="H56" s="292">
        <f t="shared" ref="H56:H61" si="8">-1*(F16-F56)</f>
        <v>3.8938832541887507</v>
      </c>
      <c r="I56" s="296"/>
      <c r="J56" s="297"/>
      <c r="K56" s="279"/>
      <c r="L56" s="257"/>
      <c r="N56" s="254" t="s">
        <v>72</v>
      </c>
      <c r="S56" s="258" t="s">
        <v>319</v>
      </c>
    </row>
    <row r="57" spans="1:19" s="254" customFormat="1" ht="21">
      <c r="A57" s="249"/>
      <c r="B57" s="290" t="str">
        <f>IF('Eingabe - Input'!$D$22=1,N57,S57)</f>
        <v>Normalspannungen oberes Deckblech innen</v>
      </c>
      <c r="C57" s="225" t="s">
        <v>281</v>
      </c>
      <c r="D57" s="220" t="s">
        <v>90</v>
      </c>
      <c r="E57" s="215">
        <f>IF('Eingabe - Input'!$R$24=1,'Schnittgrößen (gt)'!C43*$O$65,'eben - flat Schnittgrößen (gt)'!C60*$O$65)</f>
        <v>-0.80266477212381282</v>
      </c>
      <c r="F57" s="215">
        <f>IF('Eingabe - Input'!$R$24=1,'Schnittgrößen (st)'!C43,'eben - flat Schnittgrößen (st)'!C60)</f>
        <v>-2.2006155412908113</v>
      </c>
      <c r="G57" s="291">
        <f t="shared" ref="G57:G61" si="9">-1*(E17-E57)</f>
        <v>-1.7689831729481522</v>
      </c>
      <c r="H57" s="292">
        <f t="shared" si="8"/>
        <v>-12.669064883554491</v>
      </c>
      <c r="I57" s="298"/>
      <c r="J57" s="294"/>
      <c r="K57" s="279"/>
      <c r="L57" s="257"/>
      <c r="N57" s="254" t="s">
        <v>73</v>
      </c>
      <c r="S57" s="258" t="s">
        <v>320</v>
      </c>
    </row>
    <row r="58" spans="1:19" s="254" customFormat="1" ht="21">
      <c r="A58" s="249"/>
      <c r="B58" s="290" t="str">
        <f>IF('Eingabe - Input'!$D$22=1,N58,S58)</f>
        <v>Normalspannungen unteres Deckblech innen</v>
      </c>
      <c r="C58" s="225" t="s">
        <v>282</v>
      </c>
      <c r="D58" s="220" t="s">
        <v>90</v>
      </c>
      <c r="E58" s="215">
        <f>IF('Eingabe - Input'!$R$24=1,'Schnittgrößen (gt)'!C44*$O$65,'eben - flat Schnittgrößen (gt)'!C61*$O$65)</f>
        <v>-0.37488423764024581</v>
      </c>
      <c r="F58" s="215">
        <f>IF('Eingabe - Input'!$R$24=1,'Schnittgrößen (st)'!C44,'eben - flat Schnittgrößen (st)'!C61)</f>
        <v>-7.4597380122930117</v>
      </c>
      <c r="G58" s="291">
        <f t="shared" si="9"/>
        <v>0.81055398196512296</v>
      </c>
      <c r="H58" s="292">
        <f t="shared" si="8"/>
        <v>5.3825093667651513</v>
      </c>
      <c r="I58" s="298"/>
      <c r="J58" s="279"/>
      <c r="K58" s="257"/>
      <c r="N58" s="254" t="s">
        <v>146</v>
      </c>
      <c r="S58" s="258" t="s">
        <v>321</v>
      </c>
    </row>
    <row r="59" spans="1:19" s="254" customFormat="1" ht="21">
      <c r="A59" s="249"/>
      <c r="B59" s="290" t="str">
        <f>IF('Eingabe - Input'!$D$22=1,N59,S59)</f>
        <v>Normalspannungen unteres Deckblech außen</v>
      </c>
      <c r="C59" s="225" t="s">
        <v>283</v>
      </c>
      <c r="D59" s="220" t="s">
        <v>90</v>
      </c>
      <c r="E59" s="215">
        <f>IF('Eingabe - Input'!$R$24=1,'Schnittgrößen (gt)'!C45*$O$65,'eben - flat Schnittgrößen (gt)'!C61*$O$65)</f>
        <v>-0.37488423764024581</v>
      </c>
      <c r="F59" s="215">
        <f>IF('Eingabe - Input'!$R$24=1,'Schnittgrößen (st)'!C45,'eben - flat Schnittgrößen (st)'!C61)</f>
        <v>-7.4597380122930117</v>
      </c>
      <c r="G59" s="291">
        <f t="shared" si="9"/>
        <v>0.81055398196512296</v>
      </c>
      <c r="H59" s="292">
        <f t="shared" si="8"/>
        <v>5.3825093667651513</v>
      </c>
      <c r="I59" s="298"/>
      <c r="J59" s="299"/>
      <c r="N59" s="254" t="s">
        <v>147</v>
      </c>
      <c r="S59" s="258" t="s">
        <v>322</v>
      </c>
    </row>
    <row r="60" spans="1:19" s="254" customFormat="1" ht="21">
      <c r="A60" s="249"/>
      <c r="B60" s="290" t="str">
        <f>IF('Eingabe - Input'!$D$22=1,N60,S60)</f>
        <v>Schubspannung im Kern</v>
      </c>
      <c r="C60" s="225" t="s">
        <v>284</v>
      </c>
      <c r="D60" s="220" t="s">
        <v>90</v>
      </c>
      <c r="E60" s="215">
        <f>IF('Eingabe - Input'!$R$24=1,'Schnittgrößen (gt)'!C46*$O$65,'eben - flat Schnittgrößen (gt)'!C62*$O$65)</f>
        <v>1.5461888445660954E-3</v>
      </c>
      <c r="F60" s="215">
        <f>IF('Eingabe - Input'!$R$24=1,'Schnittgrößen (st)'!C46,'eben - flat Schnittgrößen (st)'!C62)</f>
        <v>1.7687427113968153E-2</v>
      </c>
      <c r="G60" s="300">
        <f>-1*(E20-E60)</f>
        <v>-2.1077549990088941E-4</v>
      </c>
      <c r="H60" s="300">
        <f t="shared" si="8"/>
        <v>-1.3463532844241836E-3</v>
      </c>
      <c r="I60" s="253"/>
      <c r="N60" s="254" t="s">
        <v>63</v>
      </c>
      <c r="S60" s="258" t="s">
        <v>78</v>
      </c>
    </row>
    <row r="61" spans="1:19" s="254" customFormat="1" ht="21">
      <c r="A61" s="249"/>
      <c r="B61" s="290" t="str">
        <f>IF('Eingabe - Input'!$D$22=1,N61,S61)</f>
        <v>maximale Durchbiegung</v>
      </c>
      <c r="C61" s="219" t="s">
        <v>285</v>
      </c>
      <c r="D61" s="229" t="s">
        <v>103</v>
      </c>
      <c r="E61" s="217">
        <f>IF('Eingabe - Input'!$R$24=1,'Durchbiegung (gt)'!$D$54*O65,'eben - flat Schnittgrößen (gt)'!C59*O65)</f>
        <v>7.6783589119596804E-2</v>
      </c>
      <c r="F61" s="217">
        <f>IF('Eingabe - Input'!$R$24=1,'Durchbiegung (st)'!$D$54,'eben - flat Schnittgrößen (st)'!C59)</f>
        <v>0.39289381789069866</v>
      </c>
      <c r="G61" s="291">
        <f t="shared" si="9"/>
        <v>6.3213814542028304E-2</v>
      </c>
      <c r="H61" s="291">
        <f t="shared" si="8"/>
        <v>0.24588792663370657</v>
      </c>
      <c r="I61" s="253"/>
      <c r="N61" s="254" t="s">
        <v>229</v>
      </c>
      <c r="S61" s="258" t="s">
        <v>232</v>
      </c>
    </row>
    <row r="62" spans="1:19" s="254" customFormat="1" ht="21">
      <c r="A62" s="249"/>
      <c r="B62" s="290" t="str">
        <f>IF('Eingabe - Input'!$D$22=1,N62,S62)</f>
        <v>Durchbiegung in Feldmitte</v>
      </c>
      <c r="C62" s="219" t="s">
        <v>287</v>
      </c>
      <c r="D62" s="229" t="s">
        <v>103</v>
      </c>
      <c r="E62" s="217">
        <f>IF('Eingabe - Input'!$R$24=1,'Durchbiegung (gt)'!$D$53*O65,"")</f>
        <v>7.6783589119596804E-2</v>
      </c>
      <c r="F62" s="217">
        <f>IF('Eingabe - Input'!$R$24=1,'Durchbiegung (st)'!D$53,"")</f>
        <v>0.39289381789069866</v>
      </c>
      <c r="G62" s="291">
        <f>IF('Eingabe - Input'!$R$24=1,-1*(E23-E62),"")</f>
        <v>6.3213814542028304E-2</v>
      </c>
      <c r="H62" s="291">
        <f>IF('Eingabe - Input'!$R$24=1,-1*(F23-F62),"")</f>
        <v>0.24588792663370657</v>
      </c>
      <c r="I62" s="253"/>
      <c r="N62" s="254" t="s">
        <v>231</v>
      </c>
      <c r="S62" s="254" t="s">
        <v>233</v>
      </c>
    </row>
    <row r="63" spans="1:19" s="254" customFormat="1" ht="15">
      <c r="B63" s="301"/>
    </row>
    <row r="64" spans="1:19" s="254" customFormat="1" ht="15">
      <c r="B64" s="257"/>
      <c r="N64" s="302"/>
      <c r="O64" s="302"/>
    </row>
    <row r="65" spans="2:16" s="254" customFormat="1" ht="19.5">
      <c r="B65" s="257"/>
      <c r="M65" s="303"/>
      <c r="N65" s="304" t="s">
        <v>334</v>
      </c>
      <c r="O65" s="305">
        <f>'Eingabe - Input'!M60/'Eingabe - Input'!M57</f>
        <v>0.12</v>
      </c>
      <c r="P65" s="257"/>
    </row>
    <row r="66" spans="2:16" s="254" customFormat="1" ht="19.5">
      <c r="B66" s="257"/>
      <c r="M66" s="256"/>
      <c r="N66" s="306" t="s">
        <v>250</v>
      </c>
      <c r="O66" s="307">
        <f>'Eingabe - Input'!M61/'Eingabe - Input'!M57</f>
        <v>1.3</v>
      </c>
      <c r="P66" s="257"/>
    </row>
    <row r="67" spans="2:16" s="417" customFormat="1" ht="19.5">
      <c r="N67" s="308" t="s">
        <v>251</v>
      </c>
      <c r="O67" s="303">
        <f>'Eingabe - Input'!M62/'Eingabe - Input'!M57</f>
        <v>0.5</v>
      </c>
    </row>
    <row r="68" spans="2:16" s="417" customFormat="1" ht="27.75">
      <c r="B68" s="504"/>
      <c r="C68" s="504"/>
      <c r="D68" s="504"/>
      <c r="E68" s="504"/>
      <c r="F68" s="504"/>
      <c r="G68" s="504"/>
      <c r="H68" s="504"/>
      <c r="I68" s="504"/>
      <c r="J68" s="504"/>
      <c r="N68" s="308" t="s">
        <v>252</v>
      </c>
      <c r="O68" s="303">
        <f>'Eingabe - Input'!M63/'Eingabe - Input'!M57</f>
        <v>0.7</v>
      </c>
    </row>
    <row r="69" spans="2:16" s="417" customFormat="1" ht="19.5">
      <c r="B69" s="447"/>
      <c r="N69" s="308" t="s">
        <v>253</v>
      </c>
      <c r="O69" s="303">
        <f>(('Eingabe - Input'!M67-'Eingabe - Input'!M66)/IF(('Eingabe - Input'!$M$65-'Eingabe - Input'!$M$64)=0,1,('Eingabe - Input'!$M$65-'Eingabe - Input'!$M$64)))</f>
        <v>-1</v>
      </c>
    </row>
    <row r="70" spans="2:16" s="417" customFormat="1" ht="19.5">
      <c r="B70" s="505"/>
      <c r="C70" s="505"/>
      <c r="D70" s="505"/>
      <c r="E70" s="505"/>
      <c r="F70" s="505"/>
      <c r="G70" s="505"/>
      <c r="H70" s="505"/>
      <c r="I70" s="505"/>
      <c r="J70" s="505"/>
      <c r="N70" s="309" t="s">
        <v>254</v>
      </c>
      <c r="O70" s="474">
        <f>(('Eingabe - Input'!M69-'Eingabe - Input'!M68)/IF(('Eingabe - Input'!$M$65-'Eingabe - Input'!$M$64)=0,1,('Eingabe - Input'!$M$65-'Eingabe - Input'!$M$64)))</f>
        <v>-0.5</v>
      </c>
    </row>
    <row r="71" spans="2:16" s="417" customFormat="1" ht="18">
      <c r="B71" s="505"/>
      <c r="C71" s="505"/>
      <c r="D71" s="505"/>
      <c r="E71" s="505"/>
      <c r="F71" s="505"/>
      <c r="G71" s="505"/>
      <c r="H71" s="505"/>
      <c r="I71" s="505"/>
      <c r="J71" s="505"/>
      <c r="O71" s="475"/>
    </row>
    <row r="72" spans="2:16" s="417" customFormat="1" ht="18">
      <c r="B72" s="383"/>
      <c r="C72" s="383"/>
      <c r="D72" s="418"/>
      <c r="E72" s="418"/>
      <c r="F72" s="418"/>
      <c r="G72" s="418"/>
      <c r="H72" s="418"/>
    </row>
    <row r="73" spans="2:16" s="417" customFormat="1" ht="18">
      <c r="B73" s="505"/>
      <c r="C73" s="505"/>
      <c r="D73" s="505"/>
      <c r="E73" s="505"/>
      <c r="F73" s="505"/>
      <c r="G73" s="505"/>
      <c r="H73" s="505"/>
      <c r="I73" s="505"/>
      <c r="J73" s="505"/>
      <c r="N73" s="448"/>
    </row>
    <row r="74" spans="2:16" s="417" customFormat="1" ht="23.25">
      <c r="B74" s="449"/>
      <c r="C74" s="449"/>
      <c r="D74" s="449"/>
      <c r="E74" s="449"/>
      <c r="F74" s="449"/>
      <c r="G74" s="449"/>
      <c r="H74" s="450"/>
      <c r="I74" s="451"/>
    </row>
    <row r="75" spans="2:16" s="417" customFormat="1" ht="23.25">
      <c r="B75" s="449"/>
      <c r="C75" s="449"/>
      <c r="D75" s="449"/>
      <c r="E75" s="449"/>
      <c r="F75" s="449"/>
      <c r="G75" s="449"/>
      <c r="H75" s="450"/>
      <c r="I75" s="451"/>
    </row>
    <row r="76" spans="2:16" s="417" customFormat="1" ht="23.25">
      <c r="B76" s="449"/>
      <c r="C76" s="449"/>
      <c r="D76" s="449"/>
      <c r="E76" s="449"/>
      <c r="F76" s="449"/>
      <c r="G76" s="449"/>
      <c r="H76" s="450"/>
      <c r="I76" s="451"/>
    </row>
    <row r="77" spans="2:16" s="417" customFormat="1" ht="23.25">
      <c r="B77" s="449"/>
      <c r="C77" s="449"/>
      <c r="D77" s="449"/>
      <c r="E77" s="449"/>
      <c r="F77" s="449"/>
      <c r="G77" s="449"/>
      <c r="H77" s="450"/>
      <c r="I77" s="451"/>
    </row>
    <row r="78" spans="2:16" s="417" customFormat="1" ht="23.25">
      <c r="B78" s="449"/>
      <c r="C78" s="449"/>
      <c r="D78" s="449"/>
      <c r="E78" s="449"/>
      <c r="F78" s="449"/>
      <c r="G78" s="449"/>
      <c r="H78" s="450"/>
      <c r="I78" s="451"/>
    </row>
    <row r="79" spans="2:16" s="417" customFormat="1" ht="23.25">
      <c r="B79" s="449"/>
      <c r="C79" s="449"/>
      <c r="D79" s="449"/>
      <c r="E79" s="449"/>
      <c r="F79" s="449"/>
      <c r="G79" s="449"/>
      <c r="H79" s="450"/>
      <c r="I79" s="451"/>
    </row>
    <row r="80" spans="2:16" s="417" customFormat="1" ht="23.25">
      <c r="B80" s="449"/>
      <c r="C80" s="449"/>
      <c r="D80" s="449"/>
      <c r="E80" s="449"/>
      <c r="F80" s="449"/>
      <c r="G80" s="449"/>
      <c r="H80" s="450"/>
      <c r="I80" s="451"/>
    </row>
    <row r="81" spans="2:19" s="417" customFormat="1" ht="15"/>
    <row r="82" spans="2:19" s="417" customFormat="1" ht="15"/>
    <row r="83" spans="2:19" s="417" customFormat="1" ht="12.75" customHeight="1">
      <c r="B83" s="503"/>
      <c r="C83" s="503"/>
      <c r="D83" s="503"/>
      <c r="E83" s="503"/>
      <c r="F83" s="503"/>
      <c r="G83" s="503"/>
      <c r="H83" s="503"/>
      <c r="I83" s="503"/>
      <c r="J83" s="419"/>
    </row>
    <row r="84" spans="2:19" s="417" customFormat="1" ht="41.25" customHeight="1">
      <c r="B84" s="503"/>
      <c r="C84" s="503"/>
      <c r="D84" s="503"/>
      <c r="E84" s="503"/>
      <c r="F84" s="503"/>
      <c r="G84" s="503"/>
      <c r="H84" s="503"/>
      <c r="I84" s="503"/>
      <c r="J84" s="419"/>
    </row>
    <row r="85" spans="2:19" s="382" customFormat="1"/>
    <row r="86" spans="2:19" s="382" customFormat="1"/>
    <row r="87" spans="2:19" s="382" customFormat="1"/>
    <row r="88" spans="2:19" s="417" customFormat="1" ht="23.25">
      <c r="B88" s="420"/>
      <c r="C88" s="310"/>
      <c r="D88" s="311"/>
      <c r="E88" s="311"/>
      <c r="F88" s="311"/>
      <c r="G88" s="311"/>
      <c r="H88" s="452"/>
      <c r="L88" s="312"/>
    </row>
    <row r="89" spans="2:19" s="417" customFormat="1" ht="15.75">
      <c r="B89" s="446"/>
      <c r="F89" s="421"/>
    </row>
    <row r="90" spans="2:19" s="417" customFormat="1" ht="15"/>
    <row r="91" spans="2:19" s="417" customFormat="1" ht="20.25">
      <c r="B91" s="422"/>
      <c r="D91" s="383"/>
      <c r="E91" s="423"/>
      <c r="F91" s="423"/>
      <c r="G91" s="423"/>
      <c r="K91" s="424"/>
    </row>
    <row r="92" spans="2:19" s="417" customFormat="1" ht="18">
      <c r="B92" s="453"/>
      <c r="C92" s="454"/>
      <c r="D92" s="383"/>
      <c r="E92" s="423"/>
      <c r="F92" s="423"/>
      <c r="G92" s="418"/>
      <c r="H92" s="506"/>
      <c r="I92" s="506"/>
      <c r="J92" s="425"/>
      <c r="K92" s="424"/>
    </row>
    <row r="93" spans="2:19" s="417" customFormat="1" ht="15">
      <c r="O93" s="382"/>
      <c r="S93" s="426"/>
    </row>
    <row r="94" spans="2:19" s="417" customFormat="1" ht="20.25">
      <c r="B94" s="455"/>
      <c r="C94" s="456"/>
      <c r="E94" s="456"/>
      <c r="F94" s="456"/>
      <c r="G94" s="457"/>
      <c r="H94" s="458"/>
      <c r="I94" s="459"/>
      <c r="S94" s="426"/>
    </row>
    <row r="95" spans="2:19" s="427" customFormat="1" ht="20.25">
      <c r="B95" s="383"/>
      <c r="C95" s="383"/>
      <c r="D95" s="383"/>
      <c r="E95" s="383"/>
      <c r="F95" s="383"/>
      <c r="G95" s="383"/>
      <c r="H95" s="383"/>
      <c r="I95" s="383"/>
      <c r="J95" s="383"/>
      <c r="S95" s="428"/>
    </row>
    <row r="96" spans="2:19" s="427" customFormat="1" ht="18" customHeight="1">
      <c r="B96" s="460"/>
      <c r="C96" s="461"/>
      <c r="D96" s="462"/>
      <c r="E96" s="461"/>
      <c r="F96" s="429"/>
      <c r="G96" s="383"/>
      <c r="H96" s="383"/>
      <c r="I96" s="383"/>
      <c r="J96" s="383"/>
      <c r="S96" s="428"/>
    </row>
    <row r="97" spans="2:19" s="427" customFormat="1" ht="20.100000000000001" customHeight="1">
      <c r="S97" s="428"/>
    </row>
    <row r="98" spans="2:19" s="427" customFormat="1" ht="20.100000000000001" customHeight="1">
      <c r="S98" s="428"/>
    </row>
    <row r="99" spans="2:19" s="427" customFormat="1" ht="20.100000000000001" customHeight="1">
      <c r="B99" s="500"/>
      <c r="C99" s="507"/>
      <c r="D99" s="507"/>
      <c r="E99" s="507"/>
      <c r="F99" s="500"/>
      <c r="G99" s="500"/>
      <c r="H99" s="500"/>
      <c r="S99" s="428"/>
    </row>
    <row r="100" spans="2:19" s="427" customFormat="1" ht="20.100000000000001" customHeight="1">
      <c r="B100" s="500"/>
      <c r="C100" s="507"/>
      <c r="D100" s="507"/>
      <c r="E100" s="507"/>
      <c r="F100" s="500"/>
      <c r="G100" s="500"/>
      <c r="H100" s="500"/>
      <c r="S100" s="428"/>
    </row>
    <row r="101" spans="2:19" s="427" customFormat="1" ht="19.5" customHeight="1">
      <c r="B101" s="463"/>
      <c r="C101" s="501"/>
      <c r="D101" s="501"/>
      <c r="E101" s="501"/>
      <c r="F101" s="501"/>
      <c r="G101" s="501"/>
      <c r="H101" s="501"/>
      <c r="S101" s="428"/>
    </row>
    <row r="102" spans="2:19" s="427" customFormat="1" ht="19.5" customHeight="1">
      <c r="B102" s="463"/>
      <c r="C102" s="501"/>
      <c r="D102" s="501"/>
      <c r="E102" s="501"/>
      <c r="F102" s="501"/>
      <c r="G102" s="501"/>
      <c r="H102" s="501"/>
      <c r="S102" s="428"/>
    </row>
    <row r="103" spans="2:19" s="427" customFormat="1" ht="20.100000000000001" customHeight="1">
      <c r="B103" s="464"/>
      <c r="C103" s="501"/>
      <c r="D103" s="501"/>
      <c r="E103" s="501"/>
      <c r="F103" s="501"/>
      <c r="G103" s="501"/>
      <c r="H103" s="501"/>
      <c r="S103" s="428"/>
    </row>
    <row r="104" spans="2:19" s="427" customFormat="1" ht="20.100000000000001" customHeight="1">
      <c r="B104" s="463"/>
      <c r="C104" s="501"/>
      <c r="D104" s="501"/>
      <c r="E104" s="501"/>
      <c r="F104" s="501"/>
      <c r="G104" s="501"/>
      <c r="H104" s="501"/>
      <c r="S104" s="428"/>
    </row>
    <row r="105" spans="2:19" s="427" customFormat="1" ht="20.100000000000001" customHeight="1">
      <c r="B105" s="464"/>
      <c r="C105" s="501"/>
      <c r="D105" s="501"/>
      <c r="E105" s="501"/>
      <c r="F105" s="501"/>
      <c r="G105" s="501"/>
      <c r="H105" s="501"/>
      <c r="S105" s="428"/>
    </row>
    <row r="106" spans="2:19" s="427" customFormat="1" ht="20.100000000000001" customHeight="1">
      <c r="B106" s="463"/>
      <c r="C106" s="501"/>
      <c r="D106" s="501"/>
      <c r="E106" s="501"/>
      <c r="F106" s="501"/>
      <c r="G106" s="501"/>
      <c r="H106" s="501"/>
      <c r="S106" s="428"/>
    </row>
    <row r="107" spans="2:19" s="417" customFormat="1" ht="20.25">
      <c r="B107" s="463"/>
      <c r="C107" s="501"/>
      <c r="D107" s="501"/>
      <c r="E107" s="501"/>
      <c r="F107" s="501"/>
      <c r="G107" s="501"/>
      <c r="H107" s="501"/>
      <c r="S107" s="426"/>
    </row>
    <row r="108" spans="2:19" s="417" customFormat="1" ht="20.25">
      <c r="B108" s="463"/>
      <c r="C108" s="501"/>
      <c r="D108" s="501"/>
      <c r="E108" s="501"/>
      <c r="F108" s="501"/>
      <c r="G108" s="501"/>
      <c r="H108" s="501"/>
      <c r="S108" s="426"/>
    </row>
    <row r="109" spans="2:19" s="417" customFormat="1" ht="20.25">
      <c r="B109" s="463"/>
      <c r="C109" s="501"/>
      <c r="D109" s="501"/>
      <c r="E109" s="501"/>
      <c r="F109" s="501"/>
      <c r="G109" s="501"/>
      <c r="H109" s="501"/>
      <c r="S109" s="426"/>
    </row>
    <row r="110" spans="2:19" s="417" customFormat="1" ht="20.25">
      <c r="B110" s="463"/>
      <c r="C110" s="501"/>
      <c r="D110" s="501"/>
      <c r="E110" s="501"/>
      <c r="F110" s="501"/>
      <c r="G110" s="501"/>
      <c r="H110" s="501"/>
      <c r="S110" s="426"/>
    </row>
    <row r="111" spans="2:19" s="427" customFormat="1" ht="20.25">
      <c r="K111" s="430"/>
      <c r="S111" s="431"/>
    </row>
    <row r="112" spans="2:19" s="383" customFormat="1" ht="18">
      <c r="S112" s="432"/>
    </row>
    <row r="113" spans="3:19" s="383" customFormat="1" ht="18">
      <c r="S113" s="432"/>
    </row>
    <row r="114" spans="3:19" s="417" customFormat="1" ht="15">
      <c r="S114" s="426"/>
    </row>
    <row r="115" spans="3:19" s="417" customFormat="1" ht="15">
      <c r="S115" s="426"/>
    </row>
    <row r="116" spans="3:19" s="417" customFormat="1" ht="15">
      <c r="S116" s="426"/>
    </row>
    <row r="117" spans="3:19" s="417" customFormat="1" ht="15">
      <c r="S117" s="426"/>
    </row>
    <row r="118" spans="3:19" s="417" customFormat="1" ht="15">
      <c r="S118" s="426"/>
    </row>
    <row r="119" spans="3:19" s="417" customFormat="1" ht="15">
      <c r="S119" s="426"/>
    </row>
    <row r="120" spans="3:19" s="382" customFormat="1" ht="15">
      <c r="O120" s="433"/>
      <c r="S120" s="426"/>
    </row>
    <row r="121" spans="3:19" s="382" customFormat="1" ht="27.75">
      <c r="C121" s="465"/>
      <c r="D121" s="465"/>
      <c r="E121" s="465"/>
      <c r="F121" s="465"/>
      <c r="G121" s="465"/>
      <c r="O121" s="433"/>
      <c r="S121" s="434"/>
    </row>
    <row r="122" spans="3:19" s="382" customFormat="1" ht="15.75">
      <c r="C122" s="466"/>
      <c r="D122" s="466"/>
      <c r="E122" s="466"/>
      <c r="F122" s="466"/>
      <c r="G122" s="466"/>
      <c r="O122" s="433"/>
      <c r="S122" s="435"/>
    </row>
    <row r="123" spans="3:19" s="382" customFormat="1" ht="26.25">
      <c r="C123" s="467"/>
      <c r="D123" s="468"/>
      <c r="E123" s="468"/>
      <c r="F123" s="468"/>
      <c r="G123" s="468"/>
      <c r="H123" s="436"/>
      <c r="O123" s="433"/>
      <c r="S123" s="434"/>
    </row>
    <row r="124" spans="3:19" s="316" customFormat="1" ht="23.25">
      <c r="C124" s="437"/>
      <c r="D124" s="437"/>
      <c r="E124" s="437"/>
      <c r="F124" s="437"/>
      <c r="G124" s="437"/>
      <c r="H124" s="437"/>
      <c r="S124" s="426"/>
    </row>
    <row r="125" spans="3:19" s="316" customFormat="1" ht="23.25">
      <c r="C125" s="438"/>
      <c r="D125" s="469"/>
      <c r="E125" s="437"/>
      <c r="F125" s="437"/>
      <c r="G125" s="437"/>
      <c r="H125" s="437"/>
      <c r="S125" s="426"/>
    </row>
    <row r="126" spans="3:19" s="316" customFormat="1" ht="23.25">
      <c r="C126" s="438"/>
      <c r="D126" s="469"/>
      <c r="E126" s="437"/>
      <c r="F126" s="437"/>
      <c r="G126" s="437"/>
      <c r="H126" s="437"/>
      <c r="S126" s="426"/>
    </row>
    <row r="127" spans="3:19" s="316" customFormat="1" ht="23.25">
      <c r="C127" s="437"/>
      <c r="D127" s="439"/>
      <c r="E127" s="437"/>
      <c r="F127" s="437"/>
      <c r="G127" s="437"/>
      <c r="H127" s="437"/>
      <c r="S127" s="426"/>
    </row>
    <row r="128" spans="3:19" s="316" customFormat="1" ht="23.25">
      <c r="C128" s="437"/>
      <c r="D128" s="437"/>
      <c r="E128" s="437"/>
      <c r="F128" s="437"/>
      <c r="G128" s="437"/>
      <c r="H128" s="437"/>
    </row>
    <row r="129" spans="3:25" s="316" customFormat="1" ht="23.25">
      <c r="C129" s="437"/>
      <c r="D129" s="437"/>
      <c r="E129" s="437"/>
      <c r="F129" s="440"/>
      <c r="G129" s="441"/>
      <c r="H129" s="442"/>
      <c r="O129" s="445"/>
      <c r="Y129" s="470"/>
    </row>
    <row r="130" spans="3:25" s="316" customFormat="1" ht="23.25">
      <c r="C130" s="437"/>
      <c r="D130" s="437"/>
      <c r="E130" s="437"/>
      <c r="F130" s="437"/>
      <c r="G130" s="437"/>
      <c r="H130" s="437"/>
      <c r="O130" s="445"/>
      <c r="Y130" s="470"/>
    </row>
    <row r="131" spans="3:25" s="316" customFormat="1" ht="23.25">
      <c r="C131" s="437"/>
      <c r="D131" s="437"/>
      <c r="E131" s="437"/>
      <c r="F131" s="440"/>
      <c r="G131" s="441"/>
      <c r="H131" s="442"/>
      <c r="O131" s="445"/>
      <c r="S131" s="443"/>
      <c r="X131" s="471"/>
    </row>
    <row r="132" spans="3:25" s="316" customFormat="1" ht="23.25">
      <c r="C132" s="437"/>
      <c r="D132" s="439"/>
      <c r="E132" s="437"/>
      <c r="F132" s="437"/>
      <c r="G132" s="444"/>
      <c r="H132" s="444"/>
      <c r="O132" s="445"/>
      <c r="Y132" s="470"/>
    </row>
    <row r="133" spans="3:25" s="316" customFormat="1" ht="23.25">
      <c r="C133" s="437"/>
      <c r="D133" s="437"/>
      <c r="E133" s="437"/>
      <c r="F133" s="437"/>
      <c r="G133" s="437"/>
      <c r="H133" s="437"/>
      <c r="O133" s="445"/>
      <c r="Y133" s="470"/>
    </row>
    <row r="134" spans="3:25" s="316" customFormat="1" ht="23.25">
      <c r="C134" s="437"/>
      <c r="D134" s="437"/>
      <c r="E134" s="437"/>
      <c r="F134" s="440"/>
      <c r="G134" s="441"/>
      <c r="H134" s="442"/>
      <c r="O134" s="445"/>
      <c r="S134" s="443"/>
      <c r="X134" s="471"/>
    </row>
    <row r="135" spans="3:25" s="316" customFormat="1" ht="23.25">
      <c r="C135" s="437"/>
      <c r="D135" s="437"/>
      <c r="E135" s="437"/>
      <c r="F135" s="437"/>
      <c r="G135" s="437"/>
      <c r="H135" s="437"/>
      <c r="O135" s="445"/>
      <c r="X135" s="472"/>
    </row>
    <row r="136" spans="3:25" s="316" customFormat="1" ht="23.25">
      <c r="C136" s="437"/>
      <c r="D136" s="437"/>
      <c r="E136" s="437"/>
      <c r="F136" s="440"/>
      <c r="G136" s="441"/>
      <c r="H136" s="442"/>
      <c r="O136" s="445"/>
    </row>
    <row r="137" spans="3:25" s="316" customFormat="1" ht="23.25">
      <c r="C137" s="437"/>
      <c r="D137" s="437"/>
      <c r="E137" s="437"/>
      <c r="F137" s="440"/>
      <c r="G137" s="441"/>
      <c r="H137" s="442"/>
      <c r="O137" s="445"/>
    </row>
    <row r="138" spans="3:25" s="316" customFormat="1" ht="23.25">
      <c r="C138" s="437"/>
      <c r="D138" s="437"/>
      <c r="E138" s="437"/>
      <c r="F138" s="437"/>
      <c r="G138" s="437"/>
      <c r="H138" s="437"/>
      <c r="O138" s="445"/>
    </row>
    <row r="139" spans="3:25" s="316" customFormat="1" ht="23.25">
      <c r="C139" s="438"/>
      <c r="D139" s="469"/>
      <c r="E139" s="437"/>
      <c r="F139" s="437"/>
      <c r="G139" s="437"/>
      <c r="H139" s="437"/>
      <c r="O139" s="473"/>
    </row>
    <row r="140" spans="3:25" s="316" customFormat="1" ht="23.25">
      <c r="C140" s="438"/>
      <c r="D140" s="469"/>
      <c r="E140" s="437"/>
      <c r="F140" s="437"/>
      <c r="G140" s="437"/>
      <c r="H140" s="437"/>
      <c r="O140" s="473"/>
    </row>
    <row r="141" spans="3:25" s="316" customFormat="1" ht="23.25">
      <c r="C141" s="437"/>
      <c r="D141" s="439"/>
      <c r="E141" s="437"/>
      <c r="F141" s="437"/>
      <c r="G141" s="437"/>
      <c r="H141" s="437"/>
      <c r="O141" s="315"/>
    </row>
    <row r="142" spans="3:25" s="316" customFormat="1" ht="23.25">
      <c r="C142" s="437"/>
      <c r="D142" s="437"/>
      <c r="E142" s="437"/>
      <c r="F142" s="437"/>
      <c r="G142" s="437"/>
      <c r="H142" s="437"/>
    </row>
    <row r="143" spans="3:25" s="316" customFormat="1" ht="23.25">
      <c r="C143" s="437"/>
      <c r="D143" s="437"/>
      <c r="E143" s="437"/>
      <c r="F143" s="440"/>
      <c r="G143" s="441"/>
      <c r="H143" s="442"/>
    </row>
    <row r="144" spans="3:25" s="316" customFormat="1" ht="23.25">
      <c r="C144" s="437"/>
      <c r="D144" s="437"/>
      <c r="E144" s="437"/>
      <c r="F144" s="437"/>
      <c r="G144" s="437"/>
      <c r="H144" s="437"/>
    </row>
    <row r="145" spans="3:8" s="316" customFormat="1" ht="23.25">
      <c r="C145" s="437"/>
      <c r="D145" s="437"/>
      <c r="E145" s="437"/>
      <c r="F145" s="440"/>
      <c r="G145" s="441"/>
      <c r="H145" s="442"/>
    </row>
    <row r="146" spans="3:8" s="316" customFormat="1" ht="23.25">
      <c r="C146" s="437"/>
      <c r="D146" s="437"/>
      <c r="E146" s="437"/>
      <c r="F146" s="437"/>
      <c r="G146" s="437"/>
      <c r="H146" s="437"/>
    </row>
    <row r="147" spans="3:8" s="316" customFormat="1" ht="23.25">
      <c r="C147" s="437"/>
      <c r="D147" s="439"/>
      <c r="E147" s="437"/>
      <c r="F147" s="437"/>
      <c r="G147" s="437"/>
      <c r="H147" s="437"/>
    </row>
    <row r="148" spans="3:8" s="316" customFormat="1" ht="23.25">
      <c r="C148" s="437"/>
      <c r="D148" s="437"/>
      <c r="E148" s="437"/>
      <c r="F148" s="437"/>
      <c r="G148" s="437"/>
      <c r="H148" s="437"/>
    </row>
    <row r="149" spans="3:8" s="316" customFormat="1" ht="23.25">
      <c r="C149" s="437"/>
      <c r="D149" s="437"/>
      <c r="E149" s="437"/>
      <c r="F149" s="440"/>
      <c r="G149" s="441"/>
      <c r="H149" s="442"/>
    </row>
    <row r="150" spans="3:8" s="316" customFormat="1" ht="23.25">
      <c r="C150" s="437"/>
      <c r="D150" s="437"/>
      <c r="E150" s="437"/>
      <c r="F150" s="437"/>
      <c r="G150" s="437"/>
      <c r="H150" s="437"/>
    </row>
    <row r="151" spans="3:8" s="316" customFormat="1" ht="23.25">
      <c r="C151" s="437"/>
      <c r="D151" s="437"/>
      <c r="E151" s="437"/>
      <c r="F151" s="440"/>
      <c r="G151" s="441"/>
      <c r="H151" s="442"/>
    </row>
    <row r="152" spans="3:8" s="382" customFormat="1"/>
    <row r="153" spans="3:8" s="382" customFormat="1"/>
    <row r="154" spans="3:8" s="382" customFormat="1"/>
    <row r="155" spans="3:8" s="382" customFormat="1"/>
    <row r="156" spans="3:8" s="382" customFormat="1"/>
    <row r="157" spans="3:8" s="382" customFormat="1"/>
    <row r="158" spans="3:8" s="382" customFormat="1"/>
    <row r="159" spans="3:8" s="382" customFormat="1"/>
    <row r="160" spans="3:8" s="382" customFormat="1"/>
    <row r="161" s="382" customFormat="1"/>
    <row r="162" s="382" customFormat="1"/>
    <row r="163" s="382" customFormat="1"/>
    <row r="164" s="382" customFormat="1"/>
    <row r="165" s="382" customFormat="1"/>
    <row r="166" s="382" customFormat="1"/>
    <row r="167" s="382" customFormat="1"/>
    <row r="168" s="382" customFormat="1"/>
    <row r="169" s="382" customFormat="1"/>
    <row r="170" s="382" customFormat="1"/>
    <row r="171" s="382" customFormat="1"/>
    <row r="172" s="382" customFormat="1"/>
    <row r="173" s="382" customFormat="1"/>
    <row r="174" s="382" customFormat="1"/>
    <row r="175" s="382" customFormat="1"/>
    <row r="176" s="382" customFormat="1"/>
    <row r="177" s="382" customFormat="1"/>
    <row r="178" s="382" customFormat="1"/>
    <row r="179" s="382" customFormat="1"/>
    <row r="180" s="382" customFormat="1"/>
    <row r="181" s="382" customFormat="1"/>
    <row r="182" s="382" customFormat="1"/>
    <row r="183" s="382" customFormat="1"/>
    <row r="184" s="382" customFormat="1"/>
    <row r="185" s="382" customFormat="1"/>
    <row r="186" s="382" customFormat="1"/>
    <row r="187" s="382" customFormat="1"/>
    <row r="188" s="382" customFormat="1"/>
    <row r="189" s="382" customFormat="1"/>
    <row r="190" s="382" customFormat="1"/>
    <row r="191" s="382" customFormat="1"/>
    <row r="192" s="382" customFormat="1"/>
    <row r="193" s="382" customFormat="1"/>
    <row r="194" s="382" customFormat="1"/>
    <row r="195" s="382" customFormat="1"/>
    <row r="196" s="382" customFormat="1"/>
    <row r="197" s="382" customFormat="1"/>
    <row r="198" s="382" customFormat="1"/>
    <row r="199" s="382" customFormat="1"/>
    <row r="200" s="382" customFormat="1"/>
    <row r="201" s="382" customFormat="1"/>
    <row r="202" s="382" customFormat="1"/>
    <row r="203" s="382" customFormat="1"/>
    <row r="204" s="382" customFormat="1"/>
    <row r="205" s="382" customFormat="1"/>
    <row r="206" s="382" customFormat="1"/>
    <row r="207" s="382" customFormat="1"/>
    <row r="208" s="382" customFormat="1"/>
    <row r="209" s="382" customFormat="1"/>
    <row r="210" s="382" customFormat="1"/>
    <row r="211" s="382" customFormat="1"/>
    <row r="212" s="382" customFormat="1"/>
    <row r="213" s="382" customFormat="1"/>
    <row r="214" s="382" customFormat="1"/>
    <row r="215" s="382" customFormat="1"/>
    <row r="216" s="382" customFormat="1"/>
    <row r="217" s="382" customFormat="1"/>
    <row r="218" s="382" customFormat="1"/>
    <row r="219" s="382" customFormat="1"/>
    <row r="220" s="382" customFormat="1"/>
    <row r="221" s="382" customFormat="1"/>
    <row r="222" s="382" customFormat="1"/>
    <row r="223" s="382" customFormat="1"/>
    <row r="224" s="382" customFormat="1"/>
    <row r="225" s="382" customFormat="1"/>
    <row r="226" s="382" customFormat="1"/>
    <row r="227" s="382" customFormat="1"/>
    <row r="228" s="382" customFormat="1"/>
    <row r="229" s="382" customFormat="1"/>
    <row r="230" s="382" customFormat="1"/>
    <row r="231" s="382" customFormat="1"/>
    <row r="232" s="382" customFormat="1"/>
    <row r="233" s="382" customFormat="1"/>
    <row r="234" s="382" customFormat="1"/>
    <row r="235" s="382" customFormat="1"/>
    <row r="236" s="382" customFormat="1"/>
    <row r="237" s="382" customFormat="1"/>
    <row r="238" s="382" customFormat="1"/>
    <row r="239" s="382" customFormat="1"/>
    <row r="240" s="382" customFormat="1"/>
    <row r="241" s="382" customFormat="1"/>
    <row r="242" s="382" customFormat="1"/>
    <row r="243" s="382" customFormat="1"/>
    <row r="244" s="382" customFormat="1"/>
    <row r="245" s="382" customFormat="1"/>
    <row r="246" s="382" customFormat="1"/>
    <row r="247" s="382" customFormat="1"/>
    <row r="248" s="382" customFormat="1"/>
    <row r="249" s="382" customFormat="1"/>
    <row r="250" s="382" customFormat="1"/>
    <row r="251" s="382" customFormat="1"/>
    <row r="252" s="382" customFormat="1"/>
    <row r="253" s="382" customFormat="1"/>
    <row r="254" s="382" customFormat="1"/>
    <row r="255" s="382" customFormat="1"/>
    <row r="256" s="382" customFormat="1"/>
    <row r="257" s="382" customFormat="1"/>
    <row r="258" s="382" customFormat="1"/>
    <row r="259" s="382" customFormat="1"/>
    <row r="260" s="382" customFormat="1"/>
    <row r="261" s="382" customFormat="1"/>
    <row r="262" s="382" customFormat="1"/>
    <row r="263" s="382" customFormat="1"/>
    <row r="264" s="382" customFormat="1"/>
    <row r="265" s="382" customFormat="1"/>
    <row r="266" s="382" customFormat="1"/>
    <row r="267" s="382" customFormat="1"/>
    <row r="268" s="382" customFormat="1"/>
    <row r="269" s="382" customFormat="1"/>
    <row r="270" s="382" customFormat="1"/>
    <row r="271" s="382" customFormat="1"/>
    <row r="272" s="382" customFormat="1"/>
    <row r="273" s="382" customFormat="1"/>
    <row r="274" s="382" customFormat="1"/>
    <row r="275" s="382" customFormat="1"/>
    <row r="276" s="382" customFormat="1"/>
    <row r="277" s="382" customFormat="1"/>
    <row r="278" s="382" customFormat="1"/>
    <row r="279" s="382" customFormat="1"/>
    <row r="280" s="382" customFormat="1"/>
    <row r="281" s="382" customFormat="1"/>
    <row r="282" s="382" customFormat="1"/>
    <row r="283" s="382" customFormat="1"/>
    <row r="284" s="382" customFormat="1"/>
    <row r="285" s="382" customFormat="1"/>
    <row r="286" s="382" customFormat="1"/>
    <row r="287" s="382" customFormat="1"/>
    <row r="288" s="382" customFormat="1"/>
    <row r="289" s="382" customFormat="1"/>
    <row r="290" s="382" customFormat="1"/>
    <row r="291" s="382" customFormat="1"/>
    <row r="292" s="382" customFormat="1"/>
    <row r="293" s="382" customFormat="1"/>
    <row r="294" s="382" customFormat="1"/>
    <row r="295" s="382" customFormat="1"/>
    <row r="296" s="382" customFormat="1"/>
    <row r="297" s="382" customFormat="1"/>
    <row r="298" s="382" customFormat="1"/>
    <row r="299" s="382" customFormat="1"/>
    <row r="300" s="382" customFormat="1"/>
    <row r="301" s="382" customFormat="1"/>
    <row r="302" s="382" customFormat="1"/>
    <row r="303" s="382" customFormat="1"/>
    <row r="304" s="382" customFormat="1"/>
    <row r="305" s="382" customFormat="1"/>
    <row r="306" s="382" customFormat="1"/>
    <row r="307" s="382" customFormat="1"/>
    <row r="308" s="382" customFormat="1"/>
    <row r="309" s="382" customFormat="1"/>
    <row r="310" s="382" customFormat="1"/>
    <row r="311" s="382" customFormat="1"/>
    <row r="312" s="382" customFormat="1"/>
    <row r="313" s="382" customFormat="1"/>
    <row r="314" s="382" customFormat="1"/>
    <row r="315" s="382" customFormat="1"/>
    <row r="316" s="382" customFormat="1"/>
    <row r="317" s="382" customFormat="1"/>
    <row r="318" s="382" customFormat="1"/>
    <row r="319" s="382" customFormat="1"/>
    <row r="320" s="382" customFormat="1"/>
    <row r="321" s="382" customFormat="1"/>
    <row r="322" s="382" customFormat="1"/>
    <row r="323" s="382" customFormat="1"/>
    <row r="324" s="382" customFormat="1"/>
    <row r="325" s="382" customFormat="1"/>
    <row r="326" s="382" customFormat="1"/>
    <row r="327" s="382" customFormat="1"/>
    <row r="328" s="382" customFormat="1"/>
    <row r="329" s="382" customFormat="1"/>
    <row r="330" s="382" customFormat="1"/>
    <row r="331" s="382" customFormat="1"/>
    <row r="332" s="382" customFormat="1"/>
    <row r="333" s="382" customFormat="1"/>
    <row r="334" s="382" customFormat="1"/>
    <row r="335" s="382" customFormat="1"/>
    <row r="336" s="382" customFormat="1"/>
    <row r="337" s="382" customFormat="1"/>
    <row r="338" s="382" customFormat="1"/>
    <row r="339" s="382" customFormat="1"/>
    <row r="340" s="382" customFormat="1"/>
    <row r="341" s="382" customFormat="1"/>
    <row r="342" s="382" customFormat="1"/>
    <row r="343" s="382" customFormat="1"/>
    <row r="344" s="382" customFormat="1"/>
    <row r="345" s="382" customFormat="1"/>
    <row r="346" s="382" customFormat="1"/>
    <row r="347" s="382" customFormat="1"/>
    <row r="348" s="382" customFormat="1"/>
    <row r="349" s="382" customFormat="1"/>
    <row r="350" s="382" customFormat="1"/>
    <row r="351" s="382" customFormat="1"/>
    <row r="352" s="382" customFormat="1"/>
    <row r="353" s="382" customFormat="1"/>
    <row r="354" s="382" customFormat="1"/>
    <row r="355" s="382" customFormat="1"/>
    <row r="356" s="382" customFormat="1"/>
    <row r="357" s="382" customFormat="1"/>
    <row r="358" s="382" customFormat="1"/>
    <row r="359" s="382" customFormat="1"/>
    <row r="360" s="382" customFormat="1"/>
    <row r="361" s="382" customFormat="1"/>
    <row r="362" s="382" customFormat="1"/>
    <row r="363" s="382" customFormat="1"/>
    <row r="364" s="382" customFormat="1"/>
    <row r="365" s="382" customFormat="1"/>
    <row r="366" s="382" customFormat="1"/>
    <row r="367" s="382" customFormat="1"/>
    <row r="368" s="382" customFormat="1"/>
    <row r="369" s="382" customFormat="1"/>
    <row r="370" s="382" customFormat="1"/>
    <row r="371" s="382" customFormat="1"/>
    <row r="372" s="382" customFormat="1"/>
    <row r="373" s="382" customFormat="1"/>
    <row r="374" s="382" customFormat="1"/>
    <row r="375" s="382" customFormat="1"/>
    <row r="376" s="382" customFormat="1"/>
    <row r="377" s="382" customFormat="1"/>
    <row r="378" s="382" customFormat="1"/>
    <row r="379" s="382" customFormat="1"/>
    <row r="380" s="382" customFormat="1"/>
    <row r="381" s="382" customFormat="1"/>
    <row r="382" s="382" customFormat="1"/>
    <row r="383" s="382" customFormat="1"/>
    <row r="384" s="382" customFormat="1"/>
    <row r="385" s="382" customFormat="1"/>
    <row r="386" s="382" customFormat="1"/>
    <row r="387" s="382" customFormat="1"/>
    <row r="388" s="382" customFormat="1"/>
    <row r="389" s="382" customFormat="1"/>
    <row r="390" s="382" customFormat="1"/>
    <row r="391" s="382" customFormat="1"/>
    <row r="392" s="382" customFormat="1"/>
    <row r="393" s="382" customFormat="1"/>
    <row r="394" s="382" customFormat="1"/>
    <row r="395" s="382" customFormat="1"/>
    <row r="396" s="382" customFormat="1"/>
    <row r="397" s="382" customFormat="1"/>
    <row r="398" s="382" customFormat="1"/>
    <row r="399" s="382" customFormat="1"/>
    <row r="400" s="382" customFormat="1"/>
    <row r="401" s="382" customFormat="1"/>
    <row r="402" s="382" customFormat="1"/>
    <row r="403" s="382" customFormat="1"/>
    <row r="404" s="382" customFormat="1"/>
    <row r="405" s="382" customFormat="1"/>
    <row r="406" s="382" customFormat="1"/>
    <row r="407" s="382" customFormat="1"/>
    <row r="408" s="382" customFormat="1"/>
    <row r="409" s="382" customFormat="1"/>
    <row r="410" s="382" customFormat="1"/>
    <row r="411" s="382" customFormat="1"/>
    <row r="412" s="382" customFormat="1"/>
    <row r="413" s="382" customFormat="1"/>
    <row r="414" s="382" customFormat="1"/>
    <row r="415" s="382" customFormat="1"/>
    <row r="416" s="382" customFormat="1"/>
    <row r="417" s="382" customFormat="1"/>
    <row r="418" s="382" customFormat="1"/>
    <row r="419" s="382" customFormat="1"/>
    <row r="420" s="382" customFormat="1"/>
    <row r="421" s="382" customFormat="1"/>
    <row r="422" s="382" customFormat="1"/>
    <row r="423" s="382" customFormat="1"/>
    <row r="424" s="382" customFormat="1"/>
    <row r="425" s="382" customFormat="1"/>
    <row r="426" s="382" customFormat="1"/>
    <row r="427" s="382" customFormat="1"/>
    <row r="428" s="382" customFormat="1"/>
    <row r="429" s="382" customFormat="1"/>
    <row r="430" s="382" customFormat="1"/>
    <row r="431" s="382" customFormat="1"/>
    <row r="432" s="382" customFormat="1"/>
    <row r="433" s="382" customFormat="1"/>
    <row r="434" s="382" customFormat="1"/>
    <row r="435" s="382" customFormat="1"/>
    <row r="436" s="382" customFormat="1"/>
    <row r="437" s="382" customFormat="1"/>
    <row r="438" s="382" customFormat="1"/>
    <row r="439" s="382" customFormat="1"/>
    <row r="440" s="382" customFormat="1"/>
    <row r="441" s="382" customFormat="1"/>
    <row r="442" s="382" customFormat="1"/>
    <row r="443" s="382" customFormat="1"/>
    <row r="444" s="382" customFormat="1"/>
    <row r="445" s="382" customFormat="1"/>
    <row r="446" s="382" customFormat="1"/>
    <row r="447" s="382" customFormat="1"/>
    <row r="448" s="382" customFormat="1"/>
    <row r="449" s="382" customFormat="1"/>
    <row r="450" s="382" customFormat="1"/>
    <row r="451" s="382" customFormat="1"/>
    <row r="452" s="382" customFormat="1"/>
    <row r="453" s="382" customFormat="1"/>
    <row r="454" s="382" customFormat="1"/>
    <row r="455" s="382" customFormat="1"/>
    <row r="456" s="382" customFormat="1"/>
    <row r="457" s="382" customFormat="1"/>
    <row r="458" s="382" customFormat="1"/>
    <row r="459" s="382" customFormat="1"/>
    <row r="460" s="382" customFormat="1"/>
    <row r="461" s="382" customFormat="1"/>
    <row r="462" s="382" customFormat="1"/>
    <row r="463" s="382" customFormat="1"/>
    <row r="464" s="382" customFormat="1"/>
    <row r="465" s="382" customFormat="1"/>
    <row r="466" s="382" customFormat="1"/>
    <row r="467" s="382" customFormat="1"/>
    <row r="468" s="382" customFormat="1"/>
    <row r="469" s="382" customFormat="1"/>
    <row r="470" s="382" customFormat="1"/>
    <row r="471" s="382" customFormat="1"/>
    <row r="472" s="382" customFormat="1"/>
    <row r="473" s="382" customFormat="1"/>
    <row r="474" s="382" customFormat="1"/>
    <row r="475" s="382" customFormat="1"/>
    <row r="476" s="382" customFormat="1"/>
    <row r="477" s="382" customFormat="1"/>
    <row r="478" s="382" customFormat="1"/>
    <row r="479" s="382" customFormat="1"/>
    <row r="480" s="382" customFormat="1"/>
    <row r="481" s="382" customFormat="1"/>
    <row r="482" s="382" customFormat="1"/>
    <row r="483" s="382" customFormat="1"/>
    <row r="484" s="382" customFormat="1"/>
    <row r="485" s="382" customFormat="1"/>
    <row r="486" s="382" customFormat="1"/>
    <row r="487" s="382" customFormat="1"/>
    <row r="488" s="382" customFormat="1"/>
    <row r="489" s="382" customFormat="1"/>
    <row r="490" s="382" customFormat="1"/>
    <row r="491" s="382" customFormat="1"/>
    <row r="492" s="382" customFormat="1"/>
    <row r="493" s="382" customFormat="1"/>
    <row r="494" s="382" customFormat="1"/>
    <row r="495" s="382" customFormat="1"/>
    <row r="496" s="382" customFormat="1"/>
    <row r="497" s="382" customFormat="1"/>
    <row r="498" s="382" customFormat="1"/>
    <row r="499" s="382" customFormat="1"/>
    <row r="500" s="382" customFormat="1"/>
    <row r="501" s="382" customFormat="1"/>
    <row r="502" s="382" customFormat="1"/>
    <row r="503" s="382" customFormat="1"/>
  </sheetData>
  <sheetProtection password="D591" sheet="1" objects="1" scenarios="1" selectLockedCells="1"/>
  <mergeCells count="42">
    <mergeCell ref="C107:E107"/>
    <mergeCell ref="C108:E108"/>
    <mergeCell ref="C109:E109"/>
    <mergeCell ref="C110:E110"/>
    <mergeCell ref="F107:H107"/>
    <mergeCell ref="F108:H108"/>
    <mergeCell ref="F109:H109"/>
    <mergeCell ref="F110:H110"/>
    <mergeCell ref="C104:E104"/>
    <mergeCell ref="C105:E105"/>
    <mergeCell ref="C106:E106"/>
    <mergeCell ref="F102:H102"/>
    <mergeCell ref="F103:H103"/>
    <mergeCell ref="F104:H104"/>
    <mergeCell ref="F105:H105"/>
    <mergeCell ref="F106:H106"/>
    <mergeCell ref="C102:E102"/>
    <mergeCell ref="C103:E103"/>
    <mergeCell ref="T47:U47"/>
    <mergeCell ref="N3:R3"/>
    <mergeCell ref="N4:R4"/>
    <mergeCell ref="B45:B47"/>
    <mergeCell ref="O47:P47"/>
    <mergeCell ref="D45:D47"/>
    <mergeCell ref="E45:E46"/>
    <mergeCell ref="F45:F46"/>
    <mergeCell ref="G45:H45"/>
    <mergeCell ref="F99:H99"/>
    <mergeCell ref="F101:H101"/>
    <mergeCell ref="F100:H100"/>
    <mergeCell ref="I2:J2"/>
    <mergeCell ref="B3:J3"/>
    <mergeCell ref="B4:J4"/>
    <mergeCell ref="B83:I84"/>
    <mergeCell ref="B68:J68"/>
    <mergeCell ref="B70:J70"/>
    <mergeCell ref="B71:J71"/>
    <mergeCell ref="B73:J73"/>
    <mergeCell ref="H92:I92"/>
    <mergeCell ref="C101:E101"/>
    <mergeCell ref="C99:E100"/>
    <mergeCell ref="B99:B100"/>
  </mergeCells>
  <conditionalFormatting sqref="C139:C140">
    <cfRule type="cellIs" dxfId="26" priority="1" operator="equal">
      <formula>$O$139</formula>
    </cfRule>
  </conditionalFormatting>
  <pageMargins left="0.70866141732283472" right="0.70866141732283472" top="0.78740157480314965" bottom="0.78740157480314965" header="0.31496062992125984" footer="0.31496062992125984"/>
  <pageSetup paperSize="9" scale="42" orientation="portrait" r:id="rId1"/>
  <rowBreaks count="2" manualBreakCount="2">
    <brk id="65" max="16383" man="1"/>
    <brk id="115" max="9" man="1"/>
  </rowBreaks>
  <colBreaks count="1" manualBreakCount="1">
    <brk id="12" max="1048575" man="1"/>
  </colBreaks>
  <ignoredErrors>
    <ignoredError sqref="G55:H55 E15:H15 F34:G34 F41:G4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J80"/>
  <sheetViews>
    <sheetView showGridLines="0" zoomScale="112" zoomScaleNormal="112" zoomScaleSheetLayoutView="40" workbookViewId="0">
      <selection activeCell="C33" sqref="C33"/>
    </sheetView>
  </sheetViews>
  <sheetFormatPr baseColWidth="10" defaultRowHeight="12.75"/>
  <cols>
    <col min="1" max="1" width="41" style="4" customWidth="1"/>
    <col min="2" max="2" width="8.7109375" style="30" customWidth="1"/>
    <col min="3" max="3" width="14.42578125" style="3" customWidth="1"/>
    <col min="4" max="4" width="13.7109375" style="3" customWidth="1"/>
    <col min="5" max="5" width="45.7109375" style="4" customWidth="1"/>
    <col min="6" max="6" width="23.140625" style="4" customWidth="1"/>
    <col min="7" max="7" width="15" style="5" customWidth="1"/>
    <col min="8" max="8" width="14" style="5" customWidth="1"/>
    <col min="9" max="9" width="47.85546875" style="6" customWidth="1"/>
    <col min="10" max="10" width="2.85546875" style="6" customWidth="1"/>
    <col min="11" max="11" width="62.7109375" style="6" customWidth="1"/>
    <col min="12" max="12" width="19" style="6" customWidth="1"/>
    <col min="13" max="13" width="21.28515625" style="6" customWidth="1"/>
    <col min="14" max="14" width="103.28515625" style="6" customWidth="1"/>
    <col min="15" max="15" width="17.28515625" style="6" customWidth="1"/>
    <col min="16" max="16" width="63.28515625" style="6" customWidth="1"/>
    <col min="17" max="17" width="21.42578125" style="6" customWidth="1"/>
    <col min="18" max="18" width="18.28515625" style="6" customWidth="1"/>
    <col min="19" max="21" width="6.7109375" style="6" customWidth="1"/>
    <col min="22" max="22" width="5.42578125" style="6" customWidth="1"/>
    <col min="23" max="23" width="8" style="6" customWidth="1"/>
    <col min="24" max="40" width="6.7109375" style="6" customWidth="1"/>
    <col min="41" max="62" width="11.42578125" style="6"/>
    <col min="63" max="16384" width="11.42578125" style="4"/>
  </cols>
  <sheetData>
    <row r="1" spans="1:62" s="52" customFormat="1" ht="39.950000000000003" customHeight="1">
      <c r="A1" s="3"/>
      <c r="B1" s="53"/>
      <c r="C1" s="54"/>
      <c r="D1" s="54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</row>
    <row r="2" spans="1:62">
      <c r="A2" s="2" t="str">
        <f>IF('Eingabe - Input'!$D$22=1,I2,N2)</f>
        <v>Gesamtelement (Hilfswerte und Zwischenergebnisse)</v>
      </c>
      <c r="B2" s="31"/>
      <c r="E2" s="2" t="str">
        <f>IF('Eingabe - Input'!$D$22=1,M2,R2)</f>
        <v>Erläuterungen/Formeln</v>
      </c>
      <c r="F2" s="2"/>
      <c r="G2" s="18" t="s">
        <v>104</v>
      </c>
      <c r="H2" s="18" t="s">
        <v>101</v>
      </c>
      <c r="I2" s="2" t="s">
        <v>99</v>
      </c>
      <c r="J2" s="2"/>
      <c r="K2" s="3"/>
      <c r="L2" s="3"/>
      <c r="M2" s="2" t="s">
        <v>1</v>
      </c>
      <c r="N2" s="2" t="s">
        <v>175</v>
      </c>
      <c r="O2" s="2"/>
      <c r="P2" s="3"/>
      <c r="Q2" s="3"/>
      <c r="R2" s="2" t="s">
        <v>176</v>
      </c>
    </row>
    <row r="3" spans="1:62">
      <c r="A3" s="4" t="str">
        <f>IF('Eingabe - Input'!$D$22=1,I3,N3)</f>
        <v>Deckschichtabstand</v>
      </c>
      <c r="B3" s="30" t="s">
        <v>28</v>
      </c>
      <c r="C3" s="8">
        <f>'Eingabe - Input'!$D$33-'Eingabe - Input'!$D$44-'Eingabe - Input'!$E$45-'Eingabe - Input'!$D$41/2-'Eingabe - Input'!$E$41/2</f>
        <v>79.16</v>
      </c>
      <c r="D3" s="7" t="s">
        <v>87</v>
      </c>
      <c r="I3" s="4" t="s">
        <v>170</v>
      </c>
      <c r="N3" s="4" t="s">
        <v>82</v>
      </c>
    </row>
    <row r="4" spans="1:62" ht="15.75">
      <c r="A4" s="4" t="str">
        <f>IF('Eingabe - Input'!$D$22=1,I4,N4)</f>
        <v>Kernfläche</v>
      </c>
      <c r="B4" s="30" t="s">
        <v>29</v>
      </c>
      <c r="C4" s="8">
        <f>C3*100/10</f>
        <v>791.6</v>
      </c>
      <c r="D4" s="7" t="s">
        <v>109</v>
      </c>
      <c r="I4" s="4" t="s">
        <v>171</v>
      </c>
      <c r="N4" s="4" t="s">
        <v>172</v>
      </c>
    </row>
    <row r="5" spans="1:62" ht="15.75">
      <c r="A5" s="4" t="s">
        <v>92</v>
      </c>
      <c r="B5" s="30" t="s">
        <v>30</v>
      </c>
      <c r="C5" s="10">
        <f>('Eingabe - Input'!$D$47/10)*'Eingabe - Input'!$D$42*('Eingabe - Input'!$E$47/10)*'Eingabe - Input'!$E$42*(($C$3/10)^2)/(('Eingabe - Input'!$D$47/10)*'Eingabe - Input'!$D$42+('Eingabe - Input'!$E$47/10)*'Eingabe - Input'!$E$42)</f>
        <v>3197092.7274364149</v>
      </c>
      <c r="D5" s="7" t="s">
        <v>93</v>
      </c>
      <c r="I5" s="4"/>
      <c r="N5" s="4"/>
    </row>
    <row r="6" spans="1:62" ht="15.75">
      <c r="A6" s="6" t="s">
        <v>107</v>
      </c>
      <c r="B6" s="32" t="s">
        <v>31</v>
      </c>
      <c r="C6" s="10">
        <f>'Eingabe - Input'!$M$43*'Eingabe - Input'!$D$47/10</f>
        <v>2755.619999999999</v>
      </c>
      <c r="D6" s="7" t="s">
        <v>93</v>
      </c>
    </row>
    <row r="7" spans="1:62" customFormat="1" ht="15.75">
      <c r="A7" s="6" t="s">
        <v>106</v>
      </c>
      <c r="B7" s="32" t="s">
        <v>32</v>
      </c>
      <c r="C7" s="10">
        <f>'Eingabe - Input'!$E$43*'Eingabe - Input'!$E$47/10</f>
        <v>0</v>
      </c>
      <c r="D7" s="7" t="s">
        <v>93</v>
      </c>
      <c r="I7" s="6"/>
      <c r="J7" s="24"/>
      <c r="K7" s="24"/>
      <c r="L7" s="24"/>
      <c r="M7" s="24"/>
      <c r="N7" s="6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15.75">
      <c r="A8" s="6" t="s">
        <v>152</v>
      </c>
      <c r="B8" s="32" t="s">
        <v>33</v>
      </c>
      <c r="C8" s="10">
        <f>$C$7+$C$6+$C$5</f>
        <v>3199848.347436415</v>
      </c>
      <c r="D8" s="7" t="s">
        <v>93</v>
      </c>
    </row>
    <row r="9" spans="1:62" ht="15.75">
      <c r="A9" s="6" t="s">
        <v>34</v>
      </c>
      <c r="B9" s="33" t="s">
        <v>35</v>
      </c>
      <c r="C9" s="16">
        <f>C6/C5</f>
        <v>8.6191431870341454E-4</v>
      </c>
      <c r="D9" s="7" t="s">
        <v>108</v>
      </c>
    </row>
    <row r="10" spans="1:62" ht="15.75">
      <c r="A10" s="6" t="s">
        <v>169</v>
      </c>
      <c r="B10" s="33" t="s">
        <v>36</v>
      </c>
      <c r="C10" s="16">
        <f>C7/C5</f>
        <v>0</v>
      </c>
      <c r="D10" s="7" t="s">
        <v>108</v>
      </c>
    </row>
    <row r="11" spans="1:62" ht="15.75">
      <c r="A11" s="11" t="s">
        <v>168</v>
      </c>
      <c r="B11" s="33" t="s">
        <v>37</v>
      </c>
      <c r="C11" s="16">
        <f>C10+C9</f>
        <v>8.6191431870341454E-4</v>
      </c>
      <c r="D11" s="7" t="s">
        <v>108</v>
      </c>
      <c r="I11" s="11"/>
      <c r="N11" s="11"/>
    </row>
    <row r="12" spans="1:62" ht="15.75" customHeight="1">
      <c r="A12" s="6" t="s">
        <v>167</v>
      </c>
      <c r="B12" s="33" t="s">
        <v>38</v>
      </c>
      <c r="C12" s="16">
        <f>$C$5/(((100*'Eingabe - Input'!$M$59)^2)*('Eingabe - Input'!$D$51/10)*$C$4)</f>
        <v>0.12621165706466392</v>
      </c>
      <c r="D12" s="7" t="s">
        <v>108</v>
      </c>
      <c r="G12" s="6"/>
    </row>
    <row r="13" spans="1:62" s="117" customFormat="1" ht="15.75" customHeight="1">
      <c r="A13" s="113"/>
      <c r="B13" s="114" t="s">
        <v>105</v>
      </c>
      <c r="C13" s="115">
        <f>IF('Eingabe - Input'!$M$58=1,G13,IF('Eingabe - Input'!$M$58=2,H13,""))</f>
        <v>95.919145141530791</v>
      </c>
      <c r="D13" s="116"/>
      <c r="G13" s="115">
        <f>'Eingabe - Input'!$M$59*100*(SQRT(($C$8/($C$6+$C$7))*(('Eingabe - Input'!$D$51/10)*$C$4/$C$5)))</f>
        <v>95.919145141530791</v>
      </c>
      <c r="H13" s="115">
        <f>SQRT((1+$C$11)/($C$11*$C$17))</f>
        <v>95.919145141530791</v>
      </c>
      <c r="I13" s="113"/>
      <c r="J13" s="118"/>
      <c r="K13" s="118"/>
      <c r="L13" s="118"/>
      <c r="M13" s="118"/>
      <c r="N13" s="113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</row>
    <row r="14" spans="1:62" ht="15.75">
      <c r="A14" s="6" t="s">
        <v>166</v>
      </c>
      <c r="B14" s="32" t="s">
        <v>39</v>
      </c>
      <c r="C14" s="16">
        <f>1-(1/(COSH(C13/2)))</f>
        <v>1</v>
      </c>
      <c r="D14" s="7"/>
    </row>
    <row r="15" spans="1:62" ht="15.75">
      <c r="A15" s="6" t="s">
        <v>165</v>
      </c>
      <c r="B15" s="32" t="s">
        <v>40</v>
      </c>
      <c r="C15" s="16">
        <f>TANH(C13/2)</f>
        <v>1</v>
      </c>
      <c r="D15" s="7"/>
      <c r="G15" s="18"/>
      <c r="H15" s="18"/>
    </row>
    <row r="16" spans="1:62" ht="15.75">
      <c r="A16" s="6" t="s">
        <v>164</v>
      </c>
      <c r="B16" s="32" t="s">
        <v>41</v>
      </c>
      <c r="C16" s="16">
        <f>'Eingabe - Input'!$D$51*$C$4/10</f>
        <v>633.28</v>
      </c>
      <c r="D16" s="7" t="s">
        <v>110</v>
      </c>
      <c r="G16" s="18"/>
      <c r="H16" s="18"/>
    </row>
    <row r="17" spans="1:62" ht="15.75">
      <c r="A17" s="6" t="s">
        <v>163</v>
      </c>
      <c r="B17" s="33" t="s">
        <v>42</v>
      </c>
      <c r="C17" s="16">
        <f>$C$5/($C$16*((100*'Eingabe - Input'!$M$59)^2))</f>
        <v>0.12621165706466392</v>
      </c>
      <c r="D17" s="7"/>
      <c r="E17" s="9"/>
      <c r="F17" s="9"/>
      <c r="G17" s="18"/>
      <c r="H17" s="18"/>
    </row>
    <row r="18" spans="1:62" ht="15.75">
      <c r="A18" s="4" t="str">
        <f>IF('Eingabe - Input'!$D$22=1,I18,N18)</f>
        <v>Hilfswerte und Zwischenergebnisse:</v>
      </c>
      <c r="B18" s="33" t="s">
        <v>153</v>
      </c>
      <c r="C18" s="15">
        <f>IF('Eingabe - Input'!$M$58=1,G18,IF('Eingabe - Input'!$M$58=2,H18,""))</f>
        <v>1.1847120876316428</v>
      </c>
      <c r="D18" s="7"/>
      <c r="E18" s="4" t="str">
        <f>IF('Eingabe - Input'!$M$58=1,"wird nur für 2-Feld-Berechnung benötigt","")</f>
        <v/>
      </c>
      <c r="G18" s="19">
        <v>0</v>
      </c>
      <c r="H18" s="19">
        <f>(5*(1+$C$11)+12*$C$17*(1-2*((COSH($C$13)-1)/($C$13*$C$13*COSH($C$13)))))/(4*(1+$C$11)+12*$C$17*(1-((TANH($C$13))/$C$13)))</f>
        <v>1.1847120876316428</v>
      </c>
      <c r="I18" s="6" t="s">
        <v>173</v>
      </c>
      <c r="N18" s="6" t="s">
        <v>174</v>
      </c>
    </row>
    <row r="19" spans="1:62" ht="15.75">
      <c r="A19" s="11"/>
      <c r="B19" s="33" t="s">
        <v>154</v>
      </c>
      <c r="C19" s="15">
        <f>IF('Eingabe - Input'!$M$58=1,G19,IF('Eingabe - Input'!$M$58=2,H19,""))</f>
        <v>0.40764395618417859</v>
      </c>
      <c r="D19" s="7"/>
      <c r="E19" s="4" t="str">
        <f>IF('Eingabe - Input'!$M$58=1,"wird nur für 2-Feld-Berechnung benötigt","")</f>
        <v/>
      </c>
      <c r="G19" s="19">
        <v>0</v>
      </c>
      <c r="H19" s="19">
        <f>1-($H$18/2)</f>
        <v>0.40764395618417859</v>
      </c>
    </row>
    <row r="20" spans="1:62" ht="15.75">
      <c r="A20" s="11"/>
      <c r="B20" s="33" t="s">
        <v>155</v>
      </c>
      <c r="C20" s="15">
        <f>IF('Eingabe - Input'!$M$58=1,G20,IF('Eingabe - Input'!$M$58=2,H20,""))</f>
        <v>8.6214847195014169E-2</v>
      </c>
      <c r="D20" s="7"/>
      <c r="E20" s="4" t="str">
        <f>IF('Eingabe - Input'!$M$58=1,"wird nur für 2-Feld-Berechnung benötigt","")</f>
        <v/>
      </c>
      <c r="G20" s="19">
        <v>0</v>
      </c>
      <c r="H20" s="19">
        <f>(1/(1+$C$11))*(($H$18/2)*(1-((TANH($C$13))/$C$13))-0.5+((COSH($C$13)-1)/($C$13*$C$13*(COSH($C$13)))))</f>
        <v>8.6214847195014169E-2</v>
      </c>
    </row>
    <row r="21" spans="1:62" ht="15.75">
      <c r="A21" s="11"/>
      <c r="B21" s="33" t="s">
        <v>156</v>
      </c>
      <c r="C21" s="15">
        <f>IF('Eingabe - Input'!$M$58=1,G21,IF('Eingabe - Input'!$M$58=2,H21,""))</f>
        <v>6.1411966208072492E-3</v>
      </c>
      <c r="D21" s="7"/>
      <c r="E21" s="4" t="str">
        <f>IF('Eingabe - Input'!$M$58=1,"wird nur für 2-Feld-Berechnung benötigt","")</f>
        <v/>
      </c>
      <c r="G21" s="19">
        <v>0</v>
      </c>
      <c r="H21" s="19">
        <f>($C$9/(1+$C$11))*((($H$18/2)*(1+((TANH($C$13))/($C$11*$C$13)))-0.5)-((COSH($C$13)-1)/($C$11*$C$13*$C$13*(COSH($C$13)))))</f>
        <v>6.1411966208072492E-3</v>
      </c>
    </row>
    <row r="22" spans="1:62" ht="15.75">
      <c r="A22" s="11"/>
      <c r="B22" s="33" t="s">
        <v>157</v>
      </c>
      <c r="C22" s="15">
        <f>IF('Eingabe - Input'!$M$58=1,G22,IF('Eingabe - Input'!$M$58=2,H22,""))</f>
        <v>0</v>
      </c>
      <c r="D22" s="7"/>
      <c r="E22" s="4" t="str">
        <f>IF('Eingabe - Input'!$M$58=1,"wird nur für 2-Feld-Berechnung benötigt","")</f>
        <v/>
      </c>
      <c r="G22" s="19">
        <v>0</v>
      </c>
      <c r="H22" s="19">
        <f>($C$10/(1+$C$11))*((($H$18/2)*(1+((TANH($C$13))/($C$11*$C$13)))-0.5)-((COSH($C$13)-1)/($C$11*$C$13*$C$13*(COSH($C$13)))))</f>
        <v>0</v>
      </c>
    </row>
    <row r="23" spans="1:62" ht="15.75">
      <c r="A23" s="11"/>
      <c r="B23" s="33" t="s">
        <v>162</v>
      </c>
      <c r="C23" s="15">
        <f>IF('Eingabe - Input'!$M$58=1,G23,IF('Eingabe - Input'!$M$58=2,H23,""))</f>
        <v>-2.1823519675630116</v>
      </c>
      <c r="D23" s="7"/>
      <c r="E23" s="4" t="str">
        <f>IF('Eingabe - Input'!$M$58=1,"wird nur für 2-Feld-Berechnung benötigt","")</f>
        <v/>
      </c>
      <c r="G23" s="19">
        <v>0</v>
      </c>
      <c r="H23" s="19">
        <f>-(3*(1+$C$11)*(1-(2*(((COSH($C$13))-1)/($C$13*$C$13*(COSH($C$13)))))))/(1+$C$11+3*$C$17*(1-((TANH($C$13))/$C$13)))</f>
        <v>-2.1823519675630116</v>
      </c>
    </row>
    <row r="24" spans="1:62" ht="15.75">
      <c r="A24" s="11"/>
      <c r="B24" s="33" t="s">
        <v>161</v>
      </c>
      <c r="C24" s="15">
        <f>IF('Eingabe - Input'!$M$58=1,G24,IF('Eingabe - Input'!$M$58=2,H24,""))</f>
        <v>1.0911759837815058</v>
      </c>
      <c r="D24" s="7"/>
      <c r="E24" s="4" t="str">
        <f>IF('Eingabe - Input'!$M$58=1,"wird nur für 2-Feld-Berechnung benötigt","")</f>
        <v/>
      </c>
      <c r="G24" s="19">
        <v>0</v>
      </c>
      <c r="H24" s="19">
        <f>-$H$23/2</f>
        <v>1.0911759837815058</v>
      </c>
    </row>
    <row r="25" spans="1:62" ht="15.75">
      <c r="A25" s="11"/>
      <c r="B25" s="33" t="s">
        <v>160</v>
      </c>
      <c r="C25" s="15">
        <f>IF('Eingabe - Input'!$M$58=1,G25,IF('Eingabe - Input'!$M$58=2,H25,""))</f>
        <v>1.079731264466417</v>
      </c>
      <c r="D25" s="7"/>
      <c r="E25" s="4" t="str">
        <f>IF('Eingabe - Input'!$M$58=1,"wird nur für 2-Feld-Berechnung benötigt","")</f>
        <v/>
      </c>
      <c r="G25" s="19">
        <v>0</v>
      </c>
      <c r="H25" s="19">
        <f>(1/(1+$C$11))*($C$11*(((COSH($C$13)-1))/(COSH($C$13)))-(($H$23/2)*(1-((TANH($C$13))/$C$13))))</f>
        <v>1.079731264466417</v>
      </c>
    </row>
    <row r="26" spans="1:62" ht="15.75">
      <c r="A26" s="11"/>
      <c r="B26" s="33" t="s">
        <v>159</v>
      </c>
      <c r="C26" s="15">
        <f>IF('Eingabe - Input'!$M$58=1,G26,IF('Eingabe - Input'!$M$58=2,H26,""))</f>
        <v>1.1444719315088763E-2</v>
      </c>
      <c r="D26" s="7"/>
      <c r="E26" s="4" t="str">
        <f>IF('Eingabe - Input'!$M$58=1,"wird nur für 2-Feld-Berechnung benötigt","")</f>
        <v/>
      </c>
      <c r="G26" s="19">
        <v>0</v>
      </c>
      <c r="H26" s="19">
        <f>($C$9/(1+$C$11))*(((-(COSH($C$13))-1)/(COSH($C$13)))-($H$23/2)*(1+((TANH($C$13))/($C$11*$C$13))))</f>
        <v>1.1444719315088763E-2</v>
      </c>
    </row>
    <row r="27" spans="1:62" ht="15.75">
      <c r="A27" s="11"/>
      <c r="B27" s="33" t="s">
        <v>158</v>
      </c>
      <c r="C27" s="15">
        <f>IF('Eingabe - Input'!$M$58=1,G27,IF('Eingabe - Input'!$M$58=2,H27,""))</f>
        <v>0</v>
      </c>
      <c r="D27" s="7"/>
      <c r="E27" s="4" t="str">
        <f>IF('Eingabe - Input'!$M$58=1,"wird nur für 2-Feld-Berechnung benötigt","")</f>
        <v/>
      </c>
      <c r="G27" s="19">
        <v>0</v>
      </c>
      <c r="H27" s="19">
        <f>($C$10/(1+$C$11))*(((-(COSH($C$13))-1)/(COSH($C$13)))-($H$23/2)*(1+((TANH($C$13))/($C$11*$C$13))))</f>
        <v>0</v>
      </c>
    </row>
    <row r="28" spans="1:62" ht="70.7" customHeight="1">
      <c r="B28" s="32"/>
      <c r="C28" s="15"/>
      <c r="D28" s="7"/>
      <c r="G28" s="19"/>
      <c r="H28" s="19"/>
    </row>
    <row r="29" spans="1:62" ht="84" customHeight="1">
      <c r="A29" s="34"/>
      <c r="B29" s="35"/>
      <c r="C29" s="36"/>
      <c r="D29" s="37"/>
      <c r="E29" s="34"/>
      <c r="F29" s="34"/>
      <c r="G29" s="17"/>
      <c r="H29" s="17"/>
    </row>
    <row r="30" spans="1:62" s="44" customFormat="1" ht="12.95" customHeight="1">
      <c r="A30" s="38" t="str">
        <f>IF('Eingabe - Input'!$D$22=1,I30,N30)</f>
        <v>Schnittgrößenbezeichnungen am Querschnitt</v>
      </c>
      <c r="B30" s="39"/>
      <c r="C30" s="40"/>
      <c r="D30" s="41"/>
      <c r="E30" s="38" t="str">
        <f>IF('Eingabe - Input'!$D$22=1,M30,R30)</f>
        <v>Spannungsverteilung</v>
      </c>
      <c r="G30" s="42"/>
      <c r="H30" s="42"/>
      <c r="I30" s="43" t="s">
        <v>111</v>
      </c>
      <c r="J30" s="43"/>
      <c r="K30" s="43"/>
      <c r="L30" s="43"/>
      <c r="M30" s="43" t="s">
        <v>112</v>
      </c>
      <c r="N30" s="43" t="s">
        <v>113</v>
      </c>
      <c r="O30" s="43"/>
      <c r="P30" s="43"/>
      <c r="Q30" s="43"/>
      <c r="R30" s="43" t="s">
        <v>114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</row>
    <row r="31" spans="1:62" s="44" customFormat="1" ht="39" customHeight="1">
      <c r="A31" s="38"/>
      <c r="B31" s="39"/>
      <c r="C31" s="40"/>
      <c r="D31" s="41"/>
      <c r="E31" s="38"/>
      <c r="G31" s="4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>
      <c r="A32" s="2" t="str">
        <f>IF('Eingabe - Input'!$D$22=1,I32,N32)</f>
        <v>Schnittgrößen für Gleichstreckenlast</v>
      </c>
      <c r="B32" s="31" t="s">
        <v>335</v>
      </c>
      <c r="C32" s="20">
        <f>'Eingabe - Input'!M57</f>
        <v>1</v>
      </c>
      <c r="D32" s="74" t="s">
        <v>97</v>
      </c>
      <c r="F32" s="18" t="s">
        <v>104</v>
      </c>
      <c r="H32" s="18" t="s">
        <v>101</v>
      </c>
      <c r="I32" s="2" t="s">
        <v>43</v>
      </c>
      <c r="J32" s="2"/>
      <c r="K32" s="20"/>
      <c r="L32" s="7"/>
      <c r="M32" s="7"/>
      <c r="N32" s="1" t="s">
        <v>81</v>
      </c>
      <c r="O32" s="25"/>
      <c r="P32" s="25"/>
      <c r="Q32" s="25"/>
    </row>
    <row r="33" spans="1:18" ht="15.75">
      <c r="A33" s="4" t="str">
        <f>IF('Eingabe - Input'!$D$22=1,I33,N33)</f>
        <v>Sandwichmoment</v>
      </c>
      <c r="B33" s="30" t="s">
        <v>44</v>
      </c>
      <c r="C33" s="13">
        <f>IF('Eingabe - Input'!$M$58=1,F33,IF('Eingabe - Input'!$M$58=2,H33,""))</f>
        <v>-0.34485938878005667</v>
      </c>
      <c r="D33" s="7" t="s">
        <v>100</v>
      </c>
      <c r="E33" s="4" t="str">
        <f>IF('Eingabe - Input'!$D$22=1,M33,R33)</f>
        <v>über Innenstütze</v>
      </c>
      <c r="F33" s="19">
        <f>$C$32*'Eingabe - Input'!$M$59^2/8*(1/(1+$C$11))*(1-(8*$C$14/($C$13^2)))</f>
        <v>0.49913502855997954</v>
      </c>
      <c r="H33" s="19">
        <f>-$H$20*$C$32*'Eingabe - Input'!$M$59*'Eingabe - Input'!$M$59</f>
        <v>-0.34485938878005667</v>
      </c>
      <c r="I33" s="4" t="s">
        <v>46</v>
      </c>
      <c r="J33" s="4"/>
      <c r="K33" s="13"/>
      <c r="L33" s="4"/>
      <c r="M33" s="4" t="str">
        <f>IF('Eingabe - Input'!$D$58=1,"in Feldmitte","über Innenstütze")</f>
        <v>über Innenstütze</v>
      </c>
      <c r="N33" s="1" t="s">
        <v>66</v>
      </c>
      <c r="O33" s="25"/>
      <c r="P33" s="25"/>
      <c r="Q33" s="25"/>
      <c r="R33" s="4" t="str">
        <f>IF('Eingabe - Input'!$D$58=1,"at midspan","at intermediate support")</f>
        <v>at intermediate support</v>
      </c>
    </row>
    <row r="34" spans="1:18" ht="15.75">
      <c r="A34" s="4" t="str">
        <f>IF('Eingabe - Input'!$D$22=1,I34,N34)</f>
        <v>Deckschichtmoment</v>
      </c>
      <c r="B34" s="30" t="s">
        <v>45</v>
      </c>
      <c r="C34" s="13">
        <f>IF('Eingabe - Input'!$M$58=1,F34,IF('Eingabe - Input'!$M$58=2,H34,""))</f>
        <v>-2.4564786483228997E-2</v>
      </c>
      <c r="D34" s="7" t="s">
        <v>100</v>
      </c>
      <c r="E34" s="4" t="str">
        <f>IF('Eingabe - Input'!$D$22=1,M34,R34)</f>
        <v>über Innenstütze</v>
      </c>
      <c r="F34" s="19">
        <f>$C$32*'Eingabe - Input'!$M$59^2/8*($C$9/(1+$C$11))*(1+(8*$C$14/($C$11*$C$13^2)))</f>
        <v>8.6497144002045288E-4</v>
      </c>
      <c r="H34" s="19">
        <f>-$H$21*$C$32*'Eingabe - Input'!$M$59*'Eingabe - Input'!$M$59</f>
        <v>-2.4564786483228997E-2</v>
      </c>
      <c r="I34" s="4" t="s">
        <v>47</v>
      </c>
      <c r="J34" s="4"/>
      <c r="K34" s="13"/>
      <c r="L34" s="4"/>
      <c r="M34" s="4" t="str">
        <f>IF('Eingabe - Input'!$D$58=1,"in Feldmitte","über Innenstütze")</f>
        <v>über Innenstütze</v>
      </c>
      <c r="N34" s="1" t="s">
        <v>64</v>
      </c>
      <c r="O34" s="25"/>
      <c r="P34" s="25"/>
      <c r="Q34" s="25"/>
      <c r="R34" s="4" t="str">
        <f>IF('Eingabe - Input'!$D$58=1,"at midspan","at intermediate support")</f>
        <v>at intermediate support</v>
      </c>
    </row>
    <row r="35" spans="1:18" ht="15.75">
      <c r="A35" s="4" t="str">
        <f>IF('Eingabe - Input'!$D$22=1,I35,N35)</f>
        <v>Deckschichtmoment</v>
      </c>
      <c r="B35" s="30" t="s">
        <v>79</v>
      </c>
      <c r="C35" s="13">
        <f>IF('Eingabe - Input'!$M$58=1,F35,IF('Eingabe - Input'!$M$58=2,H35,""))</f>
        <v>0</v>
      </c>
      <c r="D35" s="7" t="s">
        <v>100</v>
      </c>
      <c r="E35" s="4" t="str">
        <f>IF('Eingabe - Input'!$D$22=1,M35,R35)</f>
        <v>über Innenstütze</v>
      </c>
      <c r="F35" s="19">
        <f>$C$32*'Eingabe - Input'!$M$59^2/8*($C$10/(1+$C$11))*(1+(8*$C$14/($C$11*$C$13^2)))</f>
        <v>0</v>
      </c>
      <c r="H35" s="19">
        <f>-$H$22*$C$32*'Eingabe - Input'!$M$59*'Eingabe - Input'!$M$59</f>
        <v>0</v>
      </c>
      <c r="I35" s="4" t="s">
        <v>47</v>
      </c>
      <c r="J35" s="4"/>
      <c r="K35" s="13"/>
      <c r="L35" s="4"/>
      <c r="M35" s="4" t="str">
        <f>IF('Eingabe - Input'!$D$58=1,"in Feldmitte","über Innenstütze")</f>
        <v>über Innenstütze</v>
      </c>
      <c r="N35" s="1" t="s">
        <v>65</v>
      </c>
      <c r="O35" s="15"/>
      <c r="P35" s="15"/>
      <c r="Q35" s="15"/>
      <c r="R35" s="4" t="str">
        <f>IF('Eingabe - Input'!$D$58=1,"at midspan","at intermediate support")</f>
        <v>at intermediate support</v>
      </c>
    </row>
    <row r="36" spans="1:18" ht="15.75">
      <c r="A36" s="4" t="str">
        <f>IF('Eingabe - Input'!$D$22=1,I36,N36)</f>
        <v>Querkraft in der Kernschicht</v>
      </c>
      <c r="B36" s="30" t="s">
        <v>49</v>
      </c>
      <c r="C36" s="13">
        <f>IF('Eingabe - Input'!$M$58=1,F36,IF('Eingabe - Input'!$M$58=2,IF(ABS(H36)&lt;ABS(H37), H37,H36),""))</f>
        <v>1.1590108125667211</v>
      </c>
      <c r="D36" s="7" t="s">
        <v>102</v>
      </c>
      <c r="E36" s="4" t="str">
        <f>IF('Eingabe - Input'!$D$22=1,M36,R36)</f>
        <v>neben der Innenstütze*</v>
      </c>
      <c r="F36" s="19">
        <f>$C$32*'Eingabe - Input'!$M$59/2*(1/(1+$C$11))*(1-(2*$C$15/$C$13))</f>
        <v>0.97830588939435814</v>
      </c>
      <c r="G36" s="123" t="s">
        <v>338</v>
      </c>
      <c r="H36" s="19">
        <f>H40/2*(1/(1+$C$11))*(1-(2*$C$15/$C$13))</f>
        <v>1.1590108125667211</v>
      </c>
      <c r="I36" s="4" t="s">
        <v>48</v>
      </c>
      <c r="J36" s="4"/>
      <c r="K36" s="13"/>
      <c r="L36" s="4"/>
      <c r="M36" s="4" t="str">
        <f>IF('Eingabe - Input'!$D$58=1,"am Endauflager","neben der Innenstütze*")</f>
        <v>neben der Innenstütze*</v>
      </c>
      <c r="N36" s="28" t="s">
        <v>67</v>
      </c>
      <c r="O36" s="15"/>
      <c r="P36" s="15"/>
      <c r="Q36" s="15"/>
      <c r="R36" s="4" t="str">
        <f>IF('Eingabe - Input'!$D$58=1,"at end support","beside the intermediate support*")</f>
        <v>beside the intermediate support*</v>
      </c>
    </row>
    <row r="37" spans="1:18" ht="15.75">
      <c r="A37" s="4" t="str">
        <f>IF('Eingabe - Input'!$D$22=1,I37,N37)</f>
        <v>Querkraft in Deckschicht</v>
      </c>
      <c r="B37" s="30" t="s">
        <v>50</v>
      </c>
      <c r="C37" s="13" t="str">
        <f>IF('Eingabe - Input'!$M$58=1,F37,IF('Eingabe - Input'!$M$58=2,"",""))</f>
        <v/>
      </c>
      <c r="D37" s="7" t="s">
        <v>102</v>
      </c>
      <c r="E37" s="4" t="str">
        <f>IF('Eingabe - Input'!$D$22=1,M37,R37)</f>
        <v>*</v>
      </c>
      <c r="F37" s="19">
        <f>$C$32*'Eingabe - Input'!$M$59/2*($C$9/(1+$C$11))*(1+(2*$C$15/($C$11*$C$13)))</f>
        <v>2.1694110605641803E-2</v>
      </c>
      <c r="G37" s="123" t="s">
        <v>337</v>
      </c>
      <c r="H37" s="124">
        <f>H39*(1/(1+$C$11))*(1-(2*$C$15/$C$13))</f>
        <v>0.79760096622199517</v>
      </c>
      <c r="I37" s="4" t="s">
        <v>54</v>
      </c>
      <c r="J37" s="4"/>
      <c r="K37" s="13"/>
      <c r="L37" s="4"/>
      <c r="M37" s="4" t="str">
        <f>IF('Eingabe - Input'!$D$58=1,"am Endauflager","*")</f>
        <v>*</v>
      </c>
      <c r="N37" s="28" t="s">
        <v>68</v>
      </c>
      <c r="O37" s="15"/>
      <c r="P37" s="15"/>
      <c r="Q37" s="15"/>
      <c r="R37" s="4" t="str">
        <f>IF('Eingabe - Input'!$D$58=1,"at end support","*")</f>
        <v>*</v>
      </c>
    </row>
    <row r="38" spans="1:18" ht="15.75">
      <c r="A38" s="4" t="str">
        <f>IF('Eingabe - Input'!$D$22=1,I38,N38)</f>
        <v>Querkraft in Deckschicht</v>
      </c>
      <c r="B38" s="30" t="s">
        <v>51</v>
      </c>
      <c r="C38" s="13" t="str">
        <f>IF('Eingabe - Input'!$M$58=1,F38,IF('Eingabe - Input'!$M$58=2,"",""))</f>
        <v/>
      </c>
      <c r="D38" s="7" t="s">
        <v>102</v>
      </c>
      <c r="E38" s="4" t="str">
        <f>IF('Eingabe - Input'!$D$22=1,M38,R38)</f>
        <v>*</v>
      </c>
      <c r="F38" s="19">
        <f>$C$32*'Eingabe - Input'!$M$59/2*($C$10/(1+$C$11))*(1+(2*$C$15/($C$11*$C$13)))</f>
        <v>0</v>
      </c>
      <c r="H38" s="19"/>
      <c r="I38" s="4" t="s">
        <v>54</v>
      </c>
      <c r="J38" s="4"/>
      <c r="K38" s="13"/>
      <c r="L38" s="4"/>
      <c r="M38" s="4" t="str">
        <f>IF('Eingabe - Input'!$D$58=1,"am Endauflager","*")</f>
        <v>*</v>
      </c>
      <c r="N38" s="28" t="s">
        <v>69</v>
      </c>
      <c r="O38" s="15"/>
      <c r="P38" s="15"/>
      <c r="Q38" s="15"/>
      <c r="R38" s="4" t="str">
        <f>IF('Eingabe - Input'!$D$58=1,"at end support","*")</f>
        <v>*</v>
      </c>
    </row>
    <row r="39" spans="1:18" ht="15.75">
      <c r="A39" s="4" t="str">
        <f>IF('Eingabe - Input'!$D$22=1,I39,N39)</f>
        <v>Endauflagerkraft</v>
      </c>
      <c r="B39" s="30" t="s">
        <v>52</v>
      </c>
      <c r="C39" s="13">
        <f>IF('Eingabe - Input'!$M$58=1,F39,IF('Eingabe - Input'!$M$58=2,H39,""))</f>
        <v>0.81528791236835718</v>
      </c>
      <c r="D39" s="7" t="s">
        <v>102</v>
      </c>
      <c r="E39" s="4" t="str">
        <f>IF('Eingabe - Input'!$D$22=1,M39,R39)</f>
        <v>-</v>
      </c>
      <c r="F39" s="19">
        <f>F38+F37+F36</f>
        <v>1</v>
      </c>
      <c r="H39" s="19">
        <f>$H$19*$C$32*'Eingabe - Input'!$M$59</f>
        <v>0.81528791236835718</v>
      </c>
      <c r="I39" s="4" t="s">
        <v>55</v>
      </c>
      <c r="J39" s="4"/>
      <c r="K39" s="13"/>
      <c r="L39" s="4"/>
      <c r="M39" s="4" t="s">
        <v>108</v>
      </c>
      <c r="N39" s="28" t="s">
        <v>70</v>
      </c>
      <c r="Q39" s="15"/>
      <c r="R39" s="4" t="s">
        <v>108</v>
      </c>
    </row>
    <row r="40" spans="1:18" ht="15.75">
      <c r="A40" s="4" t="str">
        <f>IF('Eingabe - Input'!$D$22=1,I40,N40)</f>
        <v>Zwischenauflagerkraft</v>
      </c>
      <c r="B40" s="32" t="s">
        <v>53</v>
      </c>
      <c r="C40" s="13">
        <f>IF('Eingabe - Input'!$M$58=1,"",IF('Eingabe - Input'!$M$58=2,H40,""))</f>
        <v>2.3694241752632856</v>
      </c>
      <c r="D40" s="7" t="s">
        <v>102</v>
      </c>
      <c r="E40" s="4" t="str">
        <f>IF('Eingabe - Input'!$D$22=1,M40,R40)</f>
        <v>-</v>
      </c>
      <c r="F40" s="19"/>
      <c r="H40" s="19">
        <f>$H$18*$C$32*'Eingabe - Input'!$M$59</f>
        <v>2.3694241752632856</v>
      </c>
      <c r="I40" s="6" t="s">
        <v>56</v>
      </c>
      <c r="K40" s="13"/>
      <c r="L40" s="4"/>
      <c r="M40" s="4" t="s">
        <v>108</v>
      </c>
      <c r="N40" s="1" t="s">
        <v>71</v>
      </c>
      <c r="R40" s="4" t="s">
        <v>108</v>
      </c>
    </row>
    <row r="41" spans="1:18" ht="15.75">
      <c r="A41" s="4" t="str">
        <f>IF('Eingabe - Input'!$D$22=1,I41,N41)</f>
        <v>Normalspannungen oberes Deckblech außen</v>
      </c>
      <c r="B41" s="33" t="s">
        <v>58</v>
      </c>
      <c r="C41" s="14">
        <f>IF(OR('Eingabe - Input'!$M$43=0,'Eingabe - Input'!$M$43='Eingabe - Input'!$M$42),(-C33*10000/($C$3*'Eingabe - Input'!$D$42)),(-C33*10000/($C$3*'Eingabe - Input'!$D$42))-(C34*100*'Eingabe - Input'!$D$44/('Eingabe - Input'!$M$43)))</f>
        <v>8.0526533402028289</v>
      </c>
      <c r="D41" s="7" t="s">
        <v>90</v>
      </c>
      <c r="E41" s="4" t="str">
        <f>IF('Eingabe - Input'!$D$22=1,M41,R41)</f>
        <v>über Innenstütze</v>
      </c>
      <c r="F41" s="14">
        <f>IF(OR('Eingabe - Input'!$M$43=0,'Eingabe - Input'!$M$43='Eingabe - Input'!$M$42),(-F33*10000/($C$3*'Eingabe - Input'!$D$42)),(-F33*10000/($C$3*'Eingabe - Input'!$D$42))-(F34*100*'Eingabe - Input'!$D$44/('Eingabe - Input'!$M$43)))</f>
        <v>-11.655073011537493</v>
      </c>
      <c r="H41" s="14">
        <f>IF(OR('Eingabe - Input'!$M$43=0,'Eingabe - Input'!$M$43='Eingabe - Input'!$M$42),(-H33*10000/($C$3*'Eingabe - Input'!$D$42)),(-H33*10000/($C$3*'Eingabe - Input'!$D$42))-(H34*100*'Eingabe - Input'!$D$44/('Eingabe - Input'!$M$43)))</f>
        <v>8.0526533402028289</v>
      </c>
      <c r="I41" s="6" t="s">
        <v>72</v>
      </c>
      <c r="K41" s="14"/>
      <c r="L41" s="4"/>
      <c r="M41" s="4" t="str">
        <f>IF('Eingabe - Input'!$D$58=1,"in Feldmitte","über Innenstütze")</f>
        <v>über Innenstütze</v>
      </c>
      <c r="N41" s="1" t="s">
        <v>74</v>
      </c>
      <c r="R41" s="4" t="str">
        <f>IF('Eingabe - Input'!$D$58=1,"at midspan","at intermediate support")</f>
        <v>at intermediate support</v>
      </c>
    </row>
    <row r="42" spans="1:18" ht="15.75">
      <c r="A42" s="4" t="str">
        <f>IF('Eingabe - Input'!$D$22=1,I42,N42)</f>
        <v>Normalspannungen oberes Deckblech innen</v>
      </c>
      <c r="B42" s="33" t="s">
        <v>59</v>
      </c>
      <c r="C42" s="14">
        <f>IF(OR('Eingabe - Input'!$M$43=0,'Eingabe - Input'!$M$43='Eingabe - Input'!$M$42),(-C33*10000/($C$3*'Eingabe - Input'!$D$42)),(-C33*10000/($C$3*'Eingabe - Input'!$D$42))+(C34*100*'Eingabe - Input'!$D$45/('Eingabe - Input'!$M$43)))</f>
        <v>8.0526533402028289</v>
      </c>
      <c r="D42" s="7" t="s">
        <v>90</v>
      </c>
      <c r="E42" s="4" t="str">
        <f>IF('Eingabe - Input'!$D$22=1,M42,R42)</f>
        <v>über Innenstütze</v>
      </c>
      <c r="F42" s="14">
        <f>IF(OR('Eingabe - Input'!$M$43=0,'Eingabe - Input'!$M$43='Eingabe - Input'!$M$42),(-F33*10000/($C$3*'Eingabe - Input'!$D$42)),(-F33*10000/($C$3*'Eingabe - Input'!$D$42))+(F34*100*'Eingabe - Input'!$D$45/('Eingabe - Input'!$M$43)))</f>
        <v>-11.655073011537493</v>
      </c>
      <c r="H42" s="14">
        <f>IF(OR('Eingabe - Input'!$M$43=0,'Eingabe - Input'!$M$43='Eingabe - Input'!$M$42),(-H33*10000/($C$3*'Eingabe - Input'!$D$42)),(-H33*10000/($C$3*'Eingabe - Input'!$D$42))+(H34*100*'Eingabe - Input'!$D$45/('Eingabe - Input'!$M$43)))</f>
        <v>8.0526533402028289</v>
      </c>
      <c r="I42" s="6" t="s">
        <v>73</v>
      </c>
      <c r="K42" s="14"/>
      <c r="L42" s="4"/>
      <c r="M42" s="4" t="str">
        <f>IF('Eingabe - Input'!$D$58=1,"in Feldmitte","über Innenstütze")</f>
        <v>über Innenstütze</v>
      </c>
      <c r="N42" s="1" t="s">
        <v>75</v>
      </c>
      <c r="R42" s="4" t="str">
        <f>IF('Eingabe - Input'!$D$58=1,"at midspan","at intermediate support")</f>
        <v>at intermediate support</v>
      </c>
    </row>
    <row r="43" spans="1:18" ht="15.75">
      <c r="A43" s="4" t="str">
        <f>IF('Eingabe - Input'!$D$22=1,I43,N43)</f>
        <v>Normalspannungen unteres Deckblech innen</v>
      </c>
      <c r="B43" s="33" t="s">
        <v>60</v>
      </c>
      <c r="C43" s="14">
        <f>IF('Eingabe - Input'!$E$43=0,(C33*10000/($C$3*'Eingabe - Input'!$E$42)),(C33*10000/($C$3*'Eingabe - Input'!$E$42))-(C35*100*'Eingabe - Input'!$E$44/('Eingabe - Input'!$E$43)))</f>
        <v>-9.8786518300447401</v>
      </c>
      <c r="D43" s="7" t="s">
        <v>90</v>
      </c>
      <c r="E43" s="4" t="str">
        <f>IF('Eingabe - Input'!$D$22=1,M43,R43)</f>
        <v>über Innenstütze</v>
      </c>
      <c r="F43" s="14">
        <f>IF('Eingabe - Input'!$E$43=0,(F33*10000/($C$3*'Eingabe - Input'!$E$42)),(F33*10000/($C$3*'Eingabe - Input'!$E$42))-(F35*100*'Eingabe - Input'!$E$44/('Eingabe - Input'!#REF!)))</f>
        <v>14.297946710298829</v>
      </c>
      <c r="H43" s="14">
        <f>IF('Eingabe - Input'!$E$43=0,(H33*10000/($C$3*'Eingabe - Input'!$E$42)),(H33*10000/($C$3*'Eingabe - Input'!$E$42))-(H35*100*'Eingabe - Input'!$E$44/('Eingabe - Input'!$E$43)))</f>
        <v>-9.8786518300447401</v>
      </c>
      <c r="I43" s="6" t="s">
        <v>146</v>
      </c>
      <c r="K43" s="14"/>
      <c r="L43" s="4"/>
      <c r="M43" s="4" t="str">
        <f>IF('Eingabe - Input'!$D$58=1,"in Feldmitte","über Innenstütze")</f>
        <v>über Innenstütze</v>
      </c>
      <c r="N43" s="1" t="s">
        <v>76</v>
      </c>
      <c r="R43" s="4" t="str">
        <f>IF('Eingabe - Input'!$D$58=1,"at midspan","at intermediate support")</f>
        <v>at intermediate support</v>
      </c>
    </row>
    <row r="44" spans="1:18" ht="15.75">
      <c r="A44" s="4" t="str">
        <f>IF('Eingabe - Input'!$D$22=1,I44,N44)</f>
        <v>Normalspannungen unteres Deckblech außen</v>
      </c>
      <c r="B44" s="33" t="s">
        <v>61</v>
      </c>
      <c r="C44" s="14">
        <f>IF('Eingabe - Input'!$E$43=0,(C33*10000/($C$3*'Eingabe - Input'!$E$42)),(C33*10000/($C$3*'Eingabe - Input'!$E$42))+(C35*100*'Eingabe - Input'!$E$45/('Eingabe - Input'!$E$43)))</f>
        <v>-9.8786518300447401</v>
      </c>
      <c r="D44" s="7" t="s">
        <v>90</v>
      </c>
      <c r="E44" s="4" t="str">
        <f>IF('Eingabe - Input'!$D$22=1,M44,R44)</f>
        <v>über Innenstütze</v>
      </c>
      <c r="F44" s="14">
        <f>IF('Eingabe - Input'!$E$43=0,(F33*10000/($C$3*'Eingabe - Input'!$E$42)),(F33*10000/($C$3*'Eingabe - Input'!$E$42))+(F35*100*'Eingabe - Input'!$E$45/('Eingabe - Input'!$E$43)))</f>
        <v>14.297946710298829</v>
      </c>
      <c r="H44" s="14">
        <f>IF('Eingabe - Input'!$E$43=0,(H33*10000/($C$3*'Eingabe - Input'!$E$42)),(H33*10000/($C$3*'Eingabe - Input'!$E$42))+(H35*100*'Eingabe - Input'!$E$45/('Eingabe - Input'!$E$43)))</f>
        <v>-9.8786518300447401</v>
      </c>
      <c r="I44" s="6" t="s">
        <v>147</v>
      </c>
      <c r="K44" s="14"/>
      <c r="L44" s="4"/>
      <c r="M44" s="4" t="str">
        <f>IF('Eingabe - Input'!$D$58=1,"in Feldmitte","über Innenstütze")</f>
        <v>über Innenstütze</v>
      </c>
      <c r="N44" s="1" t="s">
        <v>77</v>
      </c>
      <c r="R44" s="4" t="str">
        <f>IF('Eingabe - Input'!$D$58=1,"at midspan","at intermediate support")</f>
        <v>at intermediate support</v>
      </c>
    </row>
    <row r="45" spans="1:18" ht="15.75">
      <c r="A45" s="4" t="str">
        <f>IF('Eingabe - Input'!$D$22=1,I45,N45)</f>
        <v>Schubspannung im Kern</v>
      </c>
      <c r="B45" s="33" t="s">
        <v>62</v>
      </c>
      <c r="C45" s="13">
        <f>C36*10/$C$4</f>
        <v>1.4641369537224874E-2</v>
      </c>
      <c r="D45" s="7" t="s">
        <v>90</v>
      </c>
      <c r="E45" s="4" t="str">
        <f>IF('Eingabe - Input'!$D$22=1,M45,R45)</f>
        <v>neben der Innenstütze*</v>
      </c>
      <c r="F45" s="120">
        <f>F36*10/$C$4</f>
        <v>1.2358588799827666E-2</v>
      </c>
      <c r="G45" s="122" t="s">
        <v>339</v>
      </c>
      <c r="H45" s="120">
        <f>H36*10/$C$4</f>
        <v>1.4641369537224874E-2</v>
      </c>
      <c r="I45" s="6" t="s">
        <v>63</v>
      </c>
      <c r="K45" s="13"/>
      <c r="L45" s="4"/>
      <c r="M45" s="4" t="str">
        <f>IF('Eingabe - Input'!$D$58=1,"am Endauflager","neben der Innenstütze*")</f>
        <v>neben der Innenstütze*</v>
      </c>
      <c r="N45" s="1" t="s">
        <v>78</v>
      </c>
      <c r="R45" s="4" t="str">
        <f>IF('Eingabe - Input'!$D$58=1,"at end support","beside the intermediate support*")</f>
        <v>beside the intermediate support*</v>
      </c>
    </row>
    <row r="46" spans="1:18" ht="57" customHeight="1">
      <c r="A46" s="6"/>
      <c r="B46" s="32"/>
      <c r="D46" s="22"/>
      <c r="E46" s="29" t="str">
        <f>IF('Eingabe - Input'!$D$22=1,M46,R46)</f>
        <v>* Ansatz für Vs und TauC auf der sicheren Seite, zur genauen Berechnung ist Verlauf der Querkraft zu bestimmen (z. B. mit SandStat) - vgl. ECCS, App. A</v>
      </c>
      <c r="F46" s="29"/>
      <c r="G46" s="122" t="s">
        <v>336</v>
      </c>
      <c r="H46" s="121">
        <f>H37*10/$C$4</f>
        <v>1.0075808062430459E-2</v>
      </c>
      <c r="K46" s="13"/>
      <c r="M46" s="23" t="str">
        <f>IF($C$35=1,"","* Ansatz für Vs und TauC auf der sicheren Seite, zur genauen Berechnung ist Verlauf der Querkraft zu bestimmen (z. B. mit SandStat) - vgl. ECCS, App. A")</f>
        <v>* Ansatz für Vs und TauC auf der sicheren Seite, zur genauen Berechnung ist Verlauf der Querkraft zu bestimmen (z. B. mit SandStat) - vgl. ECCS, App. A</v>
      </c>
      <c r="N46" s="1"/>
      <c r="R46" s="23" t="str">
        <f>IF('Eingabe - Input'!$D$58=1,"","* attemp for Vs and TauC on the save side, for more exact determination  decide the course of the shear force Querkraft zu bestimmen (e. x. with SandStat) - compare: ECCS, App. A")</f>
        <v>* attemp for Vs and TauC on the save side, for more exact determination  decide the course of the shear force Querkraft zu bestimmen (e. x. with SandStat) - compare: ECCS, App. A</v>
      </c>
    </row>
    <row r="47" spans="1:18" ht="42.6" customHeight="1">
      <c r="A47" s="2" t="str">
        <f>IF('Eingabe - Input'!$D$22=1,I48,N48)</f>
        <v>Schnittgrößen für Temperaturdifferenz</v>
      </c>
      <c r="B47" s="45" t="s">
        <v>85</v>
      </c>
      <c r="C47" s="21">
        <f>('Eingabe - Input'!E48*'Eingabe - Input'!M65-'Eingabe - Input'!D48*'Eingabe - Input'!M64)/($C$3*10)</f>
        <v>-6.06366851945427E-7</v>
      </c>
      <c r="D47" s="74" t="s">
        <v>108</v>
      </c>
      <c r="F47" s="99" t="s">
        <v>255</v>
      </c>
      <c r="G47" s="99" t="s">
        <v>256</v>
      </c>
      <c r="H47" s="17"/>
      <c r="K47" s="14"/>
      <c r="L47" s="4"/>
      <c r="M47" s="4"/>
    </row>
    <row r="48" spans="1:18">
      <c r="A48" s="166" t="s">
        <v>394</v>
      </c>
      <c r="B48" s="45" t="s">
        <v>85</v>
      </c>
      <c r="C48" s="21">
        <f>('Eingabe - Input'!E48*'Eingabe - Input'!M65-'Eingabe - Input'!D48*'Eingabe - Input'!M72)/($C$3*10)</f>
        <v>-8.3375442142496215E-7</v>
      </c>
      <c r="D48" s="74" t="s">
        <v>108</v>
      </c>
      <c r="F48" s="18" t="s">
        <v>104</v>
      </c>
      <c r="G48" s="18" t="s">
        <v>104</v>
      </c>
      <c r="H48" s="18" t="s">
        <v>101</v>
      </c>
      <c r="I48" s="2" t="s">
        <v>80</v>
      </c>
      <c r="J48" s="2"/>
      <c r="K48" s="20"/>
      <c r="L48" s="7"/>
      <c r="M48" s="7"/>
      <c r="N48" s="1" t="s">
        <v>235</v>
      </c>
      <c r="O48" s="25"/>
      <c r="P48" s="25"/>
      <c r="Q48" s="25"/>
    </row>
    <row r="49" spans="1:18" ht="15.75">
      <c r="A49" s="4" t="str">
        <f>IF('Eingabe - Input'!$D$22=1,I49,N49)</f>
        <v>Sandwichmoment</v>
      </c>
      <c r="B49" s="30" t="s">
        <v>44</v>
      </c>
      <c r="C49" s="13">
        <f>IF('Eingabe - Input'!$M$58=1,G49,IF('Eingabe - Input'!$M$58=2,H49,""))</f>
        <v>2.0931789630386901</v>
      </c>
      <c r="D49" s="7" t="s">
        <v>100</v>
      </c>
      <c r="E49" s="4" t="str">
        <f>IF('Eingabe - Input'!$D$22=1,M49,R49)</f>
        <v>über Innenstütze</v>
      </c>
      <c r="F49" s="19">
        <f>-$C$11*$C$48*$C$5*$C$14/(1+$C$11)</f>
        <v>2.295531807033532E-3</v>
      </c>
      <c r="G49" s="19">
        <f>-$C$11*$C$47*$C$5*$C$14/(1+$C$11)</f>
        <v>1.6694776778425687E-3</v>
      </c>
      <c r="H49" s="19">
        <f>-$H$25*$C$47*$C$5</f>
        <v>2.0931789630386901</v>
      </c>
      <c r="I49" s="4" t="s">
        <v>46</v>
      </c>
      <c r="J49" s="4"/>
      <c r="K49" s="13"/>
      <c r="L49" s="4"/>
      <c r="M49" s="4" t="str">
        <f>IF('Eingabe - Input'!$D$58=1,"in Feldmitte","über Innenstütze")</f>
        <v>über Innenstütze</v>
      </c>
      <c r="N49" s="1" t="s">
        <v>66</v>
      </c>
      <c r="O49" s="25"/>
      <c r="P49" s="25"/>
      <c r="Q49" s="25"/>
      <c r="R49" s="4" t="str">
        <f>IF('Eingabe - Input'!$D$58=1,"at midspan","at intermediate support")</f>
        <v>at intermediate support</v>
      </c>
    </row>
    <row r="50" spans="1:18" ht="15.75">
      <c r="A50" s="4" t="str">
        <f>IF('Eingabe - Input'!$D$22=1,I50,N50)</f>
        <v>Deckschichtmoment</v>
      </c>
      <c r="B50" s="30" t="s">
        <v>45</v>
      </c>
      <c r="C50" s="13">
        <f>IF('Eingabe - Input'!$M$58=1,G50,IF('Eingabe - Input'!$M$58=2,H50,""))</f>
        <v>2.2186859357142812E-2</v>
      </c>
      <c r="D50" s="7" t="s">
        <v>100</v>
      </c>
      <c r="E50" s="4" t="str">
        <f>IF('Eingabe - Input'!$D$22=1,M50,R50)</f>
        <v>über Innenstütze</v>
      </c>
      <c r="F50" s="19">
        <f>$C$9*$C$48*$C$5*$C$14/(1+$C$11)</f>
        <v>-2.295531807033532E-3</v>
      </c>
      <c r="G50" s="19">
        <f>$C$9*$C$47*$C$5*$C$14/(1+$C$11)</f>
        <v>-1.6694776778425687E-3</v>
      </c>
      <c r="H50" s="19">
        <f>-$H$26*$C$47*$C$5</f>
        <v>2.2186859357142812E-2</v>
      </c>
      <c r="I50" s="4" t="s">
        <v>47</v>
      </c>
      <c r="J50" s="4"/>
      <c r="K50" s="13"/>
      <c r="L50" s="4"/>
      <c r="M50" s="4" t="str">
        <f>IF('Eingabe - Input'!$D$58=1,"in Feldmitte","über Innenstütze")</f>
        <v>über Innenstütze</v>
      </c>
      <c r="N50" s="1" t="s">
        <v>64</v>
      </c>
      <c r="O50" s="25"/>
      <c r="P50" s="25"/>
      <c r="Q50" s="25"/>
      <c r="R50" s="4" t="str">
        <f>IF('Eingabe - Input'!$D$58=1,"at midspan","at intermediate support")</f>
        <v>at intermediate support</v>
      </c>
    </row>
    <row r="51" spans="1:18" ht="15.75">
      <c r="A51" s="4" t="str">
        <f>IF('Eingabe - Input'!$D$22=1,I51,N51)</f>
        <v>Deckschichtmoment</v>
      </c>
      <c r="B51" s="30" t="s">
        <v>79</v>
      </c>
      <c r="C51" s="13">
        <f>IF('Eingabe - Input'!$M$58=1,G51,IF('Eingabe - Input'!$M$58=2,H51,""))</f>
        <v>0</v>
      </c>
      <c r="D51" s="7" t="s">
        <v>100</v>
      </c>
      <c r="E51" s="4" t="str">
        <f>IF('Eingabe - Input'!$D$22=1,M51,R51)</f>
        <v>über Innenstütze</v>
      </c>
      <c r="F51" s="19">
        <f>$C$10*$C$48*$C$5*$C$14/(1+$C$11)</f>
        <v>0</v>
      </c>
      <c r="G51" s="19">
        <f>$C$10*$C$47*$C$5*$C$14/(1+$C$11)</f>
        <v>0</v>
      </c>
      <c r="H51" s="19">
        <f>$H$27*$C$47*$C$5</f>
        <v>0</v>
      </c>
      <c r="I51" s="4" t="s">
        <v>47</v>
      </c>
      <c r="J51" s="4"/>
      <c r="K51" s="13"/>
      <c r="L51" s="4"/>
      <c r="M51" s="4" t="str">
        <f>IF('Eingabe - Input'!$D$58=1,"in Feldmitte","über Innenstütze")</f>
        <v>über Innenstütze</v>
      </c>
      <c r="N51" s="1" t="s">
        <v>65</v>
      </c>
      <c r="O51" s="15"/>
      <c r="P51" s="15"/>
      <c r="Q51" s="15"/>
      <c r="R51" s="4" t="str">
        <f>IF('Eingabe - Input'!$D$58=1,"at midspan","at intermediate support")</f>
        <v>at intermediate support</v>
      </c>
    </row>
    <row r="52" spans="1:18" ht="15.75">
      <c r="A52" s="4" t="str">
        <f>IF('Eingabe - Input'!$D$22=1,I52,N52)</f>
        <v>Querkraft in der Kernschicht</v>
      </c>
      <c r="B52" s="30" t="s">
        <v>49</v>
      </c>
      <c r="C52" s="13">
        <f>IF('Eingabe - Input'!$M$58=1,G52,IF('Eingabe - Input'!$M$58=2,IF(ABS(H52)&lt;ABS(H55),H55,H52),""))</f>
        <v>-1.0576829111979165</v>
      </c>
      <c r="D52" s="7" t="s">
        <v>102</v>
      </c>
      <c r="E52" s="4" t="str">
        <f>IF('Eingabe - Input'!$D$22=1,M52,R52)</f>
        <v>neben der Innenstütze*</v>
      </c>
      <c r="F52" s="19">
        <f>-$C$48*$C$5*$C$15/($C$12*$C$13*'Eingabe - Input'!$M$59)</f>
        <v>0.11009272428792491</v>
      </c>
      <c r="G52" s="19">
        <f>-$C$47*$C$5*$C$15/($C$12*$C$13*'Eingabe - Input'!$M$59)</f>
        <v>8.0067435845763577E-2</v>
      </c>
      <c r="H52" s="19">
        <f>H56/2</f>
        <v>-1.0576829111979165</v>
      </c>
      <c r="I52" s="4" t="s">
        <v>48</v>
      </c>
      <c r="J52" s="4"/>
      <c r="K52" s="13"/>
      <c r="L52" s="4"/>
      <c r="M52" s="4" t="str">
        <f>IF('Eingabe - Input'!$D$58=1,"am Endauflager","neben der Innenstütze*")</f>
        <v>neben der Innenstütze*</v>
      </c>
      <c r="N52" s="28" t="s">
        <v>67</v>
      </c>
      <c r="O52" s="15"/>
      <c r="P52" s="15"/>
      <c r="Q52" s="15"/>
      <c r="R52" s="4" t="str">
        <f>IF('Eingabe - Input'!$D$58=1,"at end support","beside the intermediate support*")</f>
        <v>beside the intermediate support*</v>
      </c>
    </row>
    <row r="53" spans="1:18" ht="15.75">
      <c r="A53" s="4" t="str">
        <f>IF('Eingabe - Input'!$D$22=1,I53,N53)</f>
        <v>Querkraft in Deckschicht</v>
      </c>
      <c r="B53" s="30" t="s">
        <v>50</v>
      </c>
      <c r="C53" s="13" t="str">
        <f>IF('Eingabe - Input'!$M$58=1,G53,IF('Eingabe - Input'!$M$58=2,"",""))</f>
        <v/>
      </c>
      <c r="D53" s="7" t="s">
        <v>102</v>
      </c>
      <c r="E53" s="4" t="str">
        <f>IF('Eingabe - Input'!$D$22=1,M53,R53)</f>
        <v>*</v>
      </c>
      <c r="F53" s="19">
        <f>$C$9*$C$48*$C$5*$C$15/($C$11*$C$12*$C$13*'Eingabe - Input'!$M$59)</f>
        <v>-0.11009272428792491</v>
      </c>
      <c r="G53" s="19">
        <f>$C$9*$C$47*$C$5*$C$15/($C$11*$C$12*$C$13*'Eingabe - Input'!$M$59)</f>
        <v>-8.0067435845763577E-2</v>
      </c>
      <c r="I53" s="4" t="s">
        <v>54</v>
      </c>
      <c r="J53" s="4"/>
      <c r="K53" s="13"/>
      <c r="L53" s="4"/>
      <c r="M53" s="4" t="str">
        <f>IF('Eingabe - Input'!$D$58=1,"am Endauflager","*")</f>
        <v>*</v>
      </c>
      <c r="N53" s="28" t="s">
        <v>68</v>
      </c>
      <c r="O53" s="15"/>
      <c r="P53" s="15"/>
      <c r="Q53" s="15"/>
      <c r="R53" s="4" t="str">
        <f>IF('Eingabe - Input'!$D$58=1,"at end support","*")</f>
        <v>*</v>
      </c>
    </row>
    <row r="54" spans="1:18" ht="15.75">
      <c r="A54" s="4" t="str">
        <f>IF('Eingabe - Input'!$D$22=1,I54,N54)</f>
        <v>Querkraft in Deckschicht</v>
      </c>
      <c r="B54" s="30" t="s">
        <v>51</v>
      </c>
      <c r="C54" s="13" t="str">
        <f>IF('Eingabe - Input'!$M$58=1,G54,IF('Eingabe - Input'!$M$58=2,"",""))</f>
        <v/>
      </c>
      <c r="D54" s="7" t="s">
        <v>102</v>
      </c>
      <c r="E54" s="4" t="str">
        <f>IF('Eingabe - Input'!$D$22=1,M54,R54)</f>
        <v>*</v>
      </c>
      <c r="F54" s="19">
        <f>$C$10*$C$48*$C$5*$C$15/($C$11*$C$12*$C$13*'Eingabe - Input'!$M$59)</f>
        <v>0</v>
      </c>
      <c r="G54" s="19">
        <f>$C$10*$C$47*$C$5*$C$15/($C$11*$C$12*$C$13*'Eingabe - Input'!$M$59)</f>
        <v>0</v>
      </c>
      <c r="H54" s="19"/>
      <c r="I54" s="4" t="s">
        <v>54</v>
      </c>
      <c r="J54" s="4"/>
      <c r="K54" s="13"/>
      <c r="L54" s="4"/>
      <c r="M54" s="4" t="str">
        <f>IF('Eingabe - Input'!$D$58=1,"am Endauflager","*")</f>
        <v>*</v>
      </c>
      <c r="N54" s="28" t="s">
        <v>69</v>
      </c>
      <c r="O54" s="15"/>
      <c r="P54" s="15"/>
      <c r="Q54" s="15"/>
      <c r="R54" s="4" t="str">
        <f>IF('Eingabe - Input'!$D$58=1,"at end support","*")</f>
        <v>*</v>
      </c>
    </row>
    <row r="55" spans="1:18" ht="15.75">
      <c r="A55" s="4" t="str">
        <f>IF('Eingabe - Input'!$D$22=1,I55,N55)</f>
        <v>Endauflagerkraft</v>
      </c>
      <c r="B55" s="30" t="s">
        <v>52</v>
      </c>
      <c r="C55" s="13">
        <f>IF('Eingabe - Input'!$M$58=1,G55,IF('Eingabe - Input'!$M$58=2,H55,""))</f>
        <v>1.0576829111979165</v>
      </c>
      <c r="D55" s="7" t="s">
        <v>102</v>
      </c>
      <c r="E55" s="4" t="str">
        <f>IF('Eingabe - Input'!$D$22=1,M55,R55)</f>
        <v>-</v>
      </c>
      <c r="F55" s="19">
        <f>F52+F53+F54</f>
        <v>0</v>
      </c>
      <c r="G55" s="19">
        <f>G52+G53+G54</f>
        <v>0</v>
      </c>
      <c r="H55" s="19">
        <f>-$H$24*$C$47*$C$5/'Eingabe - Input'!$M$59</f>
        <v>1.0576829111979165</v>
      </c>
      <c r="I55" s="4" t="s">
        <v>55</v>
      </c>
      <c r="J55" s="4"/>
      <c r="K55" s="13"/>
      <c r="L55" s="4"/>
      <c r="M55" s="4" t="s">
        <v>108</v>
      </c>
      <c r="N55" s="28" t="s">
        <v>70</v>
      </c>
      <c r="Q55" s="15"/>
      <c r="R55" s="4" t="s">
        <v>108</v>
      </c>
    </row>
    <row r="56" spans="1:18" ht="15.75">
      <c r="A56" s="4" t="str">
        <f>IF('Eingabe - Input'!$D$22=1,I56,N56)</f>
        <v>Zwischenauflagerkraft</v>
      </c>
      <c r="B56" s="32" t="s">
        <v>53</v>
      </c>
      <c r="C56" s="13">
        <f>IF('Eingabe - Input'!$M$58=1,"",IF('Eingabe - Input'!$M$58=2,H56,""))</f>
        <v>-2.1153658223958329</v>
      </c>
      <c r="D56" s="7" t="s">
        <v>102</v>
      </c>
      <c r="E56" s="4" t="str">
        <f>IF('Eingabe - Input'!$D$22=1,M56,R56)</f>
        <v>-</v>
      </c>
      <c r="F56" s="19"/>
      <c r="G56" s="19"/>
      <c r="H56" s="19">
        <f>-$H$23*$C$47*$C$5/'Eingabe - Input'!$M$59</f>
        <v>-2.1153658223958329</v>
      </c>
      <c r="I56" s="6" t="s">
        <v>56</v>
      </c>
      <c r="K56" s="13"/>
      <c r="L56" s="4"/>
      <c r="M56" s="4" t="s">
        <v>108</v>
      </c>
      <c r="N56" s="1" t="s">
        <v>71</v>
      </c>
      <c r="R56" s="4" t="s">
        <v>108</v>
      </c>
    </row>
    <row r="57" spans="1:18" ht="15.75">
      <c r="A57" s="4" t="str">
        <f>IF('Eingabe - Input'!$D$22=1,I57,N57)</f>
        <v>Normalspannungen oberes Deckblech außen</v>
      </c>
      <c r="B57" s="33" t="s">
        <v>58</v>
      </c>
      <c r="C57" s="14">
        <f>IF(OR('Eingabe - Input'!$M$43=0,'Eingabe - Input'!$M$43='Eingabe - Input'!$M$42),(-C49*10000/($C$3*'Eingabe - Input'!$D$42)),(-C49*10000/($C$3*'Eingabe - Input'!$D$42))-(C50*100*'Eingabe - Input'!$D$44/('Eingabe - Input'!$M$43)))</f>
        <v>-48.876861459340873</v>
      </c>
      <c r="D57" s="7" t="s">
        <v>90</v>
      </c>
      <c r="E57" s="4" t="str">
        <f>IF('Eingabe - Input'!$D$22=1,M57,R57)</f>
        <v>über Innenstütze</v>
      </c>
      <c r="F57" s="14">
        <f>IF(OR('Eingabe - Input'!$M$43=0,'Eingabe - Input'!$M$43='Eingabe - Input'!$M$42),(-F49*10000/($C$3*'Eingabe - Input'!$D$42)),(-F49*10000/($C$3*'Eingabe - Input'!$D$42))-(F50*100*'Eingabe - Input'!$D$44/('Eingabe - Input'!$M$43)))</f>
        <v>-5.3601909864892182E-2</v>
      </c>
      <c r="G57" s="14">
        <f>IF(OR('Eingabe - Input'!$M$43=0,'Eingabe - Input'!$M$43='Eingabe - Input'!$M$42),(-G49*10000/($C$3*'Eingabe - Input'!$D$42)),(-G49*10000/($C$3*'Eingabe - Input'!$D$42))-(G50*100*'Eingabe - Input'!$D$44/('Eingabe - Input'!$M$43)))</f>
        <v>-3.8983207174467037E-2</v>
      </c>
      <c r="H57" s="14">
        <f>IF(OR('Eingabe - Input'!$M$43=0,'Eingabe - Input'!$M$43='Eingabe - Input'!$M$42),(-H49*10000/($C$3*'Eingabe - Input'!$D$42)),(-H49*10000/($C$3*'Eingabe - Input'!$D$42))-(H50*100*'Eingabe - Input'!$D$44/('Eingabe - Input'!$M$43)))</f>
        <v>-48.876861459340873</v>
      </c>
      <c r="I57" s="6" t="s">
        <v>72</v>
      </c>
      <c r="K57" s="14"/>
      <c r="L57" s="4"/>
      <c r="M57" s="4" t="str">
        <f>IF('Eingabe - Input'!$D$58=1,"in Feldmitte","über Innenstütze")</f>
        <v>über Innenstütze</v>
      </c>
      <c r="N57" s="1" t="s">
        <v>74</v>
      </c>
      <c r="R57" s="4" t="str">
        <f>IF('Eingabe - Input'!$D$58=1,"at midspan","at intermediate support")</f>
        <v>at intermediate support</v>
      </c>
    </row>
    <row r="58" spans="1:18" ht="15.75">
      <c r="A58" s="4" t="str">
        <f>IF('Eingabe - Input'!$D$22=1,I58,N58)</f>
        <v>Normalspannungen oberes Deckblech innen</v>
      </c>
      <c r="B58" s="33" t="s">
        <v>59</v>
      </c>
      <c r="C58" s="14">
        <f>IF(OR('Eingabe - Input'!$M$43=0,'Eingabe - Input'!$M$43='Eingabe - Input'!$M$42),(-C49*10000/($C$3*'Eingabe - Input'!$D$42)),(-C49*10000/($C$3*'Eingabe - Input'!$D$42))+(C50*100*'Eingabe - Input'!$D$45/('Eingabe - Input'!$M$43)))</f>
        <v>-48.876861459340873</v>
      </c>
      <c r="D58" s="7" t="s">
        <v>90</v>
      </c>
      <c r="E58" s="4" t="str">
        <f>IF('Eingabe - Input'!$D$22=1,M58,R58)</f>
        <v>über Innenstütze</v>
      </c>
      <c r="F58" s="14">
        <f>IF(OR('Eingabe - Input'!$M$43=0,'Eingabe - Input'!$M$43='Eingabe - Input'!$M$42),(-F49*10000/($C$3*'Eingabe - Input'!$D$42)),(-F49*10000/($C$3*'Eingabe - Input'!$D$42))+(F50*100*'Eingabe - Input'!$D$45/('Eingabe - Input'!$M$43)))</f>
        <v>-5.3601909864892182E-2</v>
      </c>
      <c r="G58" s="14">
        <f>IF(OR('Eingabe - Input'!$M$43=0,'Eingabe - Input'!$M$43='Eingabe - Input'!$M$42),(-G49*10000/($C$3*'Eingabe - Input'!$D$42)),(-G49*10000/($C$3*'Eingabe - Input'!$D$42))+(G50*100*'Eingabe - Input'!$D$45/('Eingabe - Input'!$M$43)))</f>
        <v>-3.8983207174467037E-2</v>
      </c>
      <c r="H58" s="14">
        <f>IF(OR('Eingabe - Input'!$M$43=0,'Eingabe - Input'!$M$43='Eingabe - Input'!$M$42),(-H49*10000/($C$3*'Eingabe - Input'!$D$42)),(-H49*10000/($C$3*'Eingabe - Input'!$D$42))+(H50*100*'Eingabe - Input'!$D$45/('Eingabe - Input'!$M$43)))</f>
        <v>-48.876861459340873</v>
      </c>
      <c r="I58" s="6" t="s">
        <v>73</v>
      </c>
      <c r="K58" s="14"/>
      <c r="L58" s="4"/>
      <c r="M58" s="4" t="str">
        <f>IF('Eingabe - Input'!$D$58=1,"in Feldmitte","über Innenstütze")</f>
        <v>über Innenstütze</v>
      </c>
      <c r="N58" s="1" t="s">
        <v>75</v>
      </c>
      <c r="R58" s="4" t="str">
        <f>IF('Eingabe - Input'!$D$58=1,"at midspan","at intermediate support")</f>
        <v>at intermediate support</v>
      </c>
    </row>
    <row r="59" spans="1:18" ht="15.75">
      <c r="A59" s="4" t="str">
        <f>IF('Eingabe - Input'!$D$22=1,I59,N59)</f>
        <v>Normalspannungen unteres Deckblech innen</v>
      </c>
      <c r="B59" s="33" t="s">
        <v>60</v>
      </c>
      <c r="C59" s="14">
        <f>IF('Eingabe - Input'!$E$43=0,(C49*10000/($C$3*'Eingabe - Input'!$E$42)),(C49*10000/($C$3*'Eingabe - Input'!$E$42))-(C51*100*'Eingabe - Input'!$E$44/('Eingabe - Input'!$E$43)))</f>
        <v>59.960049998873956</v>
      </c>
      <c r="D59" s="7" t="s">
        <v>90</v>
      </c>
      <c r="E59" s="4" t="str">
        <f>IF('Eingabe - Input'!$D$22=1,M59,R59)</f>
        <v>über Innenstütze</v>
      </c>
      <c r="F59" s="14">
        <f>IF('Eingabe - Input'!$E$43=0,(F49*10000/($C$3*'Eingabe - Input'!$E$42)),(F49*10000/($C$3*'Eingabe - Input'!$E$42))-(F51*100*'Eingabe - Input'!$E$44/('Eingabe - Input'!$E$43)))</f>
        <v>6.5756537952169319E-2</v>
      </c>
      <c r="G59" s="14">
        <f>IF('Eingabe - Input'!$E$43=0,(G49*10000/($C$3*'Eingabe - Input'!$E$42)),(G49*10000/($C$3*'Eingabe - Input'!$E$42))-(G51*100*'Eingabe - Input'!$E$44/('Eingabe - Input'!$E$43)))</f>
        <v>4.782293669248678E-2</v>
      </c>
      <c r="H59" s="14">
        <f>IF('Eingabe - Input'!$E$43=0,(H49*10000/($C$3*'Eingabe - Input'!$E$42)),(H49*10000/($C$3*'Eingabe - Input'!$E$42))-(H51*100*'Eingabe - Input'!$E$44/('Eingabe - Input'!$E$43)))</f>
        <v>59.960049998873956</v>
      </c>
      <c r="I59" s="6" t="s">
        <v>146</v>
      </c>
      <c r="K59" s="14"/>
      <c r="L59" s="4"/>
      <c r="M59" s="4" t="str">
        <f>IF('Eingabe - Input'!$D$58=1,"in Feldmitte","über Innenstütze")</f>
        <v>über Innenstütze</v>
      </c>
      <c r="N59" s="1" t="s">
        <v>76</v>
      </c>
      <c r="R59" s="4" t="str">
        <f>IF('Eingabe - Input'!$D$58=1,"at midspan","at intermediate support")</f>
        <v>at intermediate support</v>
      </c>
    </row>
    <row r="60" spans="1:18" ht="15.75">
      <c r="A60" s="4" t="str">
        <f>IF('Eingabe - Input'!$D$22=1,I60,N60)</f>
        <v>Normalspannungen unteres Deckblech außen</v>
      </c>
      <c r="B60" s="33" t="s">
        <v>61</v>
      </c>
      <c r="C60" s="14">
        <f>IF('Eingabe - Input'!$E$43=0,(C49*10000/($C$3*'Eingabe - Input'!$E$42)),(C49*10000/($C$3*'Eingabe - Input'!$E$42))+(C51*100*'Eingabe - Input'!$E$45/('Eingabe - Input'!$E$43)))</f>
        <v>59.960049998873956</v>
      </c>
      <c r="D60" s="7" t="s">
        <v>90</v>
      </c>
      <c r="E60" s="4" t="str">
        <f>IF('Eingabe - Input'!$D$22=1,M60,R60)</f>
        <v>über Innenstütze</v>
      </c>
      <c r="F60" s="14">
        <f>IF('Eingabe - Input'!$E$43=0,(F49*10000/($C$3*'Eingabe - Input'!$E$42)),(F49*10000/($C$3*'Eingabe - Input'!$E$42))+(F51*100*'Eingabe - Input'!$E$45/('Eingabe - Input'!$E$43)))</f>
        <v>6.5756537952169319E-2</v>
      </c>
      <c r="G60" s="14">
        <f>IF('Eingabe - Input'!$E$43=0,(G49*10000/($C$3*'Eingabe - Input'!$E$42)),(G49*10000/($C$3*'Eingabe - Input'!$E$42))+(G51*100*'Eingabe - Input'!$E$45/('Eingabe - Input'!$E$43)))</f>
        <v>4.782293669248678E-2</v>
      </c>
      <c r="H60" s="14">
        <f>IF('Eingabe - Input'!$E$43=0,(H49*10000/($C$3*'Eingabe - Input'!$E$42)),(H49*10000/($C$3*'Eingabe - Input'!$E$42))+(H51*100*'Eingabe - Input'!$E$45/('Eingabe - Input'!$E$43)))</f>
        <v>59.960049998873956</v>
      </c>
      <c r="I60" s="6" t="s">
        <v>147</v>
      </c>
      <c r="K60" s="14"/>
      <c r="L60" s="4"/>
      <c r="M60" s="4" t="str">
        <f>IF('Eingabe - Input'!$D$58=1,"in Feldmitte","über Innenstütze")</f>
        <v>über Innenstütze</v>
      </c>
      <c r="N60" s="1" t="s">
        <v>77</v>
      </c>
      <c r="R60" s="4" t="str">
        <f>IF('Eingabe - Input'!$D$58=1,"at midspan","at intermediate support")</f>
        <v>at intermediate support</v>
      </c>
    </row>
    <row r="61" spans="1:18" ht="15.75">
      <c r="A61" s="4" t="str">
        <f>IF('Eingabe - Input'!$D$22=1,I61,N61)</f>
        <v>Schubspannung im Kern</v>
      </c>
      <c r="B61" s="33" t="s">
        <v>62</v>
      </c>
      <c r="C61" s="13">
        <f>C52*10/$C$4</f>
        <v>-1.3361330358740734E-2</v>
      </c>
      <c r="D61" s="7" t="s">
        <v>90</v>
      </c>
      <c r="E61" s="4" t="str">
        <f>IF('Eingabe - Input'!$D$22=1,M61,R61)</f>
        <v>neben der Innenstütze*</v>
      </c>
      <c r="F61" s="13">
        <f>F52*10/$C$4</f>
        <v>1.390762055178435E-3</v>
      </c>
      <c r="G61" s="13">
        <f>G52*10/$C$4</f>
        <v>1.0114633128570436E-3</v>
      </c>
      <c r="H61" s="13">
        <f>H52*10/$C$4</f>
        <v>-1.3361330358740734E-2</v>
      </c>
      <c r="I61" s="6" t="s">
        <v>63</v>
      </c>
      <c r="K61" s="13"/>
      <c r="L61" s="4"/>
      <c r="M61" s="4" t="str">
        <f>IF('Eingabe - Input'!$D$58=1,"am Endauflager","neben der Innenstütze*")</f>
        <v>neben der Innenstütze*</v>
      </c>
      <c r="N61" s="1" t="s">
        <v>78</v>
      </c>
      <c r="R61" s="4" t="str">
        <f>IF('Eingabe - Input'!$D$58=1,"at end support","beside the intermediate support*")</f>
        <v>beside the intermediate support*</v>
      </c>
    </row>
    <row r="62" spans="1:18" ht="38.25">
      <c r="E62" s="52" t="str">
        <f>IF('Eingabe - Input'!$D$22=1,M62,R62)</f>
        <v>* Ansatz für Vs und TauC auf der sicheren Seite, zur genauen Berechnung ist Verlauf der Querkraft zu bestimmen (z. B. mit SandStat) - vgl. ECCS, App. A</v>
      </c>
      <c r="F62" s="29"/>
      <c r="G62" s="122" t="s">
        <v>336</v>
      </c>
      <c r="H62" s="125">
        <f>H55*10/$C$4</f>
        <v>1.3361330358740734E-2</v>
      </c>
      <c r="K62" s="13"/>
      <c r="L62" s="26"/>
      <c r="M62" s="26" t="str">
        <f>IF('Eingabe - Input'!$D$58=1,"","* Ansatz für Vs und TauC auf der sicheren Seite, zur genauen Berechnung ist Verlauf der Querkraft zu bestimmen (z. B. mit SandStat) - vgl. ECCS, App. A")</f>
        <v>* Ansatz für Vs und TauC auf der sicheren Seite, zur genauen Berechnung ist Verlauf der Querkraft zu bestimmen (z. B. mit SandStat) - vgl. ECCS, App. A</v>
      </c>
      <c r="N62" s="1"/>
      <c r="O62" s="27"/>
      <c r="P62" s="27"/>
      <c r="Q62" s="27"/>
      <c r="R62" s="26" t="str">
        <f>IF('Eingabe - Input'!$D$58=1,"","* attemp for Vs and TauC on the save side, for more exact determination  decide the course of the shear force Querkraft zu bestimmen (e. x. with SandStat) - compare: ECCS, App. A")</f>
        <v>* attemp for Vs and TauC on the save side, for more exact determination  decide the course of the shear force Querkraft zu bestimmen (e. x. with SandStat) - compare: ECCS, App. A</v>
      </c>
    </row>
    <row r="63" spans="1:18">
      <c r="G63" s="19"/>
      <c r="H63" s="19"/>
    </row>
    <row r="64" spans="1:18">
      <c r="G64" s="17"/>
      <c r="H64" s="17"/>
    </row>
    <row r="65" spans="1:17">
      <c r="G65" s="17"/>
      <c r="H65" s="17"/>
    </row>
    <row r="66" spans="1:17">
      <c r="G66" s="17"/>
      <c r="H66" s="17"/>
      <c r="L66" s="49"/>
    </row>
    <row r="67" spans="1:17" ht="15.95" hidden="1" customHeight="1">
      <c r="G67" s="17"/>
      <c r="H67" s="17"/>
      <c r="L67" s="51" t="s">
        <v>119</v>
      </c>
    </row>
    <row r="68" spans="1:17" s="46" customFormat="1" ht="11.25" hidden="1">
      <c r="A68" s="46" t="e">
        <f>IF(#REF!=1,I68,N68)</f>
        <v>#REF!</v>
      </c>
      <c r="G68" s="47"/>
      <c r="H68" s="47"/>
      <c r="I68" s="46" t="s">
        <v>117</v>
      </c>
      <c r="J68" s="48"/>
      <c r="K68" s="49"/>
      <c r="L68" s="51" t="s">
        <v>121</v>
      </c>
      <c r="N68" s="46" t="s">
        <v>132</v>
      </c>
      <c r="O68" s="48"/>
      <c r="P68" s="49"/>
      <c r="Q68" s="49"/>
    </row>
    <row r="69" spans="1:17" s="46" customFormat="1" ht="11.25" hidden="1">
      <c r="A69" s="46" t="e">
        <f>IF(#REF!=1,I69,N69)</f>
        <v>#REF!</v>
      </c>
      <c r="C69" s="50" t="e">
        <f>IF(#REF!=1,K69,P69)</f>
        <v>#REF!</v>
      </c>
      <c r="D69" s="46" t="e">
        <f>IF(#REF!=1,L67,Q69)</f>
        <v>#REF!</v>
      </c>
      <c r="G69" s="47"/>
      <c r="H69" s="47"/>
      <c r="I69" s="46" t="s">
        <v>118</v>
      </c>
      <c r="J69" s="48"/>
      <c r="K69" s="50">
        <v>37712</v>
      </c>
      <c r="L69" s="51" t="s">
        <v>123</v>
      </c>
      <c r="N69" s="46" t="s">
        <v>118</v>
      </c>
      <c r="O69" s="48"/>
      <c r="P69" s="50">
        <v>37712</v>
      </c>
      <c r="Q69" s="51" t="s">
        <v>133</v>
      </c>
    </row>
    <row r="70" spans="1:17" s="46" customFormat="1" ht="11.25" hidden="1">
      <c r="A70" s="46" t="e">
        <f>IF(#REF!=1,I70,N70)</f>
        <v>#REF!</v>
      </c>
      <c r="C70" s="50" t="e">
        <f>IF(#REF!=1,K70,P70)</f>
        <v>#REF!</v>
      </c>
      <c r="D70" s="46" t="e">
        <f>IF(#REF!=1,L68,Q70)</f>
        <v>#REF!</v>
      </c>
      <c r="G70" s="47"/>
      <c r="H70" s="47"/>
      <c r="I70" s="46" t="s">
        <v>120</v>
      </c>
      <c r="J70" s="48"/>
      <c r="K70" s="50">
        <v>37742</v>
      </c>
      <c r="L70" s="51" t="s">
        <v>128</v>
      </c>
      <c r="N70" s="46" t="s">
        <v>120</v>
      </c>
      <c r="O70" s="48"/>
      <c r="P70" s="50">
        <v>37742</v>
      </c>
      <c r="Q70" s="51" t="s">
        <v>134</v>
      </c>
    </row>
    <row r="71" spans="1:17" s="46" customFormat="1" ht="11.25" hidden="1">
      <c r="A71" s="46" t="e">
        <f>IF(#REF!=1,I71,N71)</f>
        <v>#REF!</v>
      </c>
      <c r="C71" s="50" t="e">
        <f>IF(#REF!=1,K71,P71)</f>
        <v>#REF!</v>
      </c>
      <c r="D71" s="46" t="e">
        <f>IF(#REF!=1,L69,Q71)</f>
        <v>#REF!</v>
      </c>
      <c r="G71" s="47"/>
      <c r="H71" s="47"/>
      <c r="I71" s="46" t="s">
        <v>122</v>
      </c>
      <c r="J71" s="48"/>
      <c r="K71" s="50">
        <v>37865</v>
      </c>
      <c r="L71" s="51" t="s">
        <v>129</v>
      </c>
      <c r="N71" s="46" t="s">
        <v>122</v>
      </c>
      <c r="O71" s="48"/>
      <c r="P71" s="50">
        <v>37865</v>
      </c>
      <c r="Q71" s="51" t="s">
        <v>135</v>
      </c>
    </row>
    <row r="72" spans="1:17" s="46" customFormat="1" ht="11.25" hidden="1">
      <c r="A72" s="46" t="e">
        <f>IF(#REF!=1,I72,N72)</f>
        <v>#REF!</v>
      </c>
      <c r="C72" s="50" t="e">
        <f>IF(#REF!=1,K72,P72)</f>
        <v>#REF!</v>
      </c>
      <c r="D72" s="46" t="e">
        <f>IF(#REF!=1,L70,Q72)</f>
        <v>#REF!</v>
      </c>
      <c r="G72" s="47"/>
      <c r="H72" s="47"/>
      <c r="I72" s="46" t="s">
        <v>124</v>
      </c>
      <c r="J72" s="51"/>
      <c r="K72" s="50">
        <v>37895</v>
      </c>
      <c r="L72" s="51" t="s">
        <v>142</v>
      </c>
      <c r="N72" s="46" t="s">
        <v>124</v>
      </c>
      <c r="O72" s="51"/>
      <c r="P72" s="50">
        <v>37895</v>
      </c>
      <c r="Q72" s="51" t="s">
        <v>136</v>
      </c>
    </row>
    <row r="73" spans="1:17" s="46" customFormat="1" ht="11.25" hidden="1">
      <c r="A73" s="46" t="e">
        <f>IF(#REF!=1,I73,N73)</f>
        <v>#REF!</v>
      </c>
      <c r="C73" s="50" t="e">
        <f>IF(#REF!=1,K73,P73)</f>
        <v>#REF!</v>
      </c>
      <c r="D73" s="46" t="e">
        <f>IF(#REF!=1,L71,Q73)</f>
        <v>#REF!</v>
      </c>
      <c r="G73" s="47"/>
      <c r="H73" s="47"/>
      <c r="I73" s="46" t="s">
        <v>125</v>
      </c>
      <c r="J73" s="48"/>
      <c r="K73" s="50">
        <v>37926</v>
      </c>
      <c r="L73" s="51" t="s">
        <v>143</v>
      </c>
      <c r="N73" s="46" t="s">
        <v>125</v>
      </c>
      <c r="O73" s="48"/>
      <c r="P73" s="50">
        <v>37926</v>
      </c>
      <c r="Q73" s="51" t="s">
        <v>137</v>
      </c>
    </row>
    <row r="74" spans="1:17" s="46" customFormat="1" ht="11.25" hidden="1">
      <c r="A74" s="46" t="e">
        <f>IF(#REF!=1,I74,N74)</f>
        <v>#REF!</v>
      </c>
      <c r="C74" s="50" t="e">
        <f>IF(#REF!=1,K74,P74)</f>
        <v>#REF!</v>
      </c>
      <c r="D74" s="46" t="e">
        <f>IF(#REF!=1,L72,Q74)</f>
        <v>#REF!</v>
      </c>
      <c r="G74" s="47"/>
      <c r="H74" s="47"/>
      <c r="I74" s="46" t="s">
        <v>126</v>
      </c>
      <c r="J74" s="48"/>
      <c r="K74" s="50">
        <v>37956</v>
      </c>
      <c r="L74" s="51" t="s">
        <v>139</v>
      </c>
      <c r="N74" s="46" t="s">
        <v>126</v>
      </c>
      <c r="O74" s="48"/>
      <c r="P74" s="50">
        <v>37956</v>
      </c>
      <c r="Q74" s="51" t="s">
        <v>130</v>
      </c>
    </row>
    <row r="75" spans="1:17" s="46" customFormat="1" ht="11.25" hidden="1">
      <c r="A75" s="46" t="e">
        <f>IF(#REF!=1,I75,N75)</f>
        <v>#REF!</v>
      </c>
      <c r="C75" s="50" t="e">
        <f>IF(#REF!=1,K75,P75)</f>
        <v>#REF!</v>
      </c>
      <c r="D75" s="46" t="e">
        <f>IF(#REF!=1,L73,Q75)</f>
        <v>#REF!</v>
      </c>
      <c r="G75" s="47"/>
      <c r="H75" s="47"/>
      <c r="I75" s="46" t="s">
        <v>127</v>
      </c>
      <c r="J75" s="51"/>
      <c r="K75" s="50">
        <v>38018</v>
      </c>
      <c r="L75" s="51" t="s">
        <v>131</v>
      </c>
      <c r="N75" s="46" t="s">
        <v>127</v>
      </c>
      <c r="O75" s="51"/>
      <c r="P75" s="50">
        <v>38018</v>
      </c>
      <c r="Q75" s="51" t="s">
        <v>144</v>
      </c>
    </row>
    <row r="76" spans="1:17" s="46" customFormat="1" ht="11.25" hidden="1">
      <c r="A76" s="46" t="e">
        <f>IF(#REF!=1,I76,N76)</f>
        <v>#REF!</v>
      </c>
      <c r="C76" s="50" t="e">
        <f>IF(#REF!=1,K76,P76)</f>
        <v>#REF!</v>
      </c>
      <c r="D76" s="46" t="e">
        <f>IF(#REF!=1,L74,Q76)</f>
        <v>#REF!</v>
      </c>
      <c r="G76" s="47"/>
      <c r="H76" s="47"/>
      <c r="I76" s="46" t="s">
        <v>141</v>
      </c>
      <c r="J76" s="51"/>
      <c r="K76" s="50">
        <v>38078</v>
      </c>
      <c r="L76" s="51"/>
      <c r="N76" s="46" t="s">
        <v>141</v>
      </c>
      <c r="O76" s="51"/>
      <c r="P76" s="50">
        <v>38078</v>
      </c>
      <c r="Q76" s="51" t="s">
        <v>140</v>
      </c>
    </row>
    <row r="77" spans="1:17" s="46" customFormat="1" ht="11.25" hidden="1">
      <c r="A77" s="46" t="e">
        <f>IF(#REF!=1,I77,N77)</f>
        <v>#REF!</v>
      </c>
      <c r="C77" s="50" t="e">
        <f>IF(#REF!=1,K77,P77)</f>
        <v>#REF!</v>
      </c>
      <c r="D77" s="46" t="e">
        <f>IF(#REF!=1,L75,Q77)</f>
        <v>#REF!</v>
      </c>
      <c r="G77" s="47"/>
      <c r="H77" s="47"/>
      <c r="I77" s="46" t="s">
        <v>145</v>
      </c>
      <c r="J77" s="48"/>
      <c r="K77" s="50">
        <v>38108</v>
      </c>
      <c r="N77" s="46" t="s">
        <v>145</v>
      </c>
      <c r="O77" s="48"/>
      <c r="P77" s="50">
        <v>38108</v>
      </c>
      <c r="Q77" s="51" t="s">
        <v>138</v>
      </c>
    </row>
    <row r="78" spans="1:17" s="46" customFormat="1" ht="11.25" hidden="1">
      <c r="A78" s="46" t="s">
        <v>148</v>
      </c>
      <c r="C78" s="50">
        <v>38777</v>
      </c>
      <c r="D78" s="46" t="s">
        <v>149</v>
      </c>
      <c r="G78" s="47"/>
      <c r="H78" s="47"/>
      <c r="J78" s="48"/>
      <c r="K78" s="50"/>
      <c r="O78" s="48"/>
      <c r="P78" s="50"/>
      <c r="Q78" s="51"/>
    </row>
    <row r="79" spans="1:17" s="46" customFormat="1" hidden="1">
      <c r="A79" s="46" t="s">
        <v>150</v>
      </c>
      <c r="C79" s="50">
        <v>39173</v>
      </c>
      <c r="D79" s="46" t="s">
        <v>151</v>
      </c>
      <c r="G79" s="47"/>
      <c r="H79" s="47"/>
      <c r="L79" s="6"/>
    </row>
    <row r="80" spans="1:17" s="46" customFormat="1" hidden="1">
      <c r="B80" s="48"/>
      <c r="C80" s="49"/>
      <c r="D80" s="49"/>
      <c r="G80" s="47"/>
      <c r="H80" s="47"/>
      <c r="L80" s="6"/>
    </row>
  </sheetData>
  <sheetProtection selectLockedCells="1"/>
  <phoneticPr fontId="18" type="noConversion"/>
  <conditionalFormatting sqref="D46 M36 R46 M61:M62 M52 R62 L45 M45:M46">
    <cfRule type="cellIs" dxfId="25" priority="7" stopIfTrue="1" operator="equal">
      <formula>"neben der Innenstütze*"</formula>
    </cfRule>
  </conditionalFormatting>
  <conditionalFormatting sqref="R37:R38 M37:M38 R53:R54 M53:M54">
    <cfRule type="cellIs" dxfId="24" priority="9" stopIfTrue="1" operator="equal">
      <formula>"*"</formula>
    </cfRule>
  </conditionalFormatting>
  <conditionalFormatting sqref="R36 R45 R52 R61">
    <cfRule type="cellIs" dxfId="23" priority="10" stopIfTrue="1" operator="equal">
      <formula>"beside the intermediate support*"</formula>
    </cfRule>
  </conditionalFormatting>
  <conditionalFormatting sqref="L36 L61:L62 L52">
    <cfRule type="cellIs" dxfId="22" priority="1" stopIfTrue="1" operator="equal">
      <formula>"neben der Innenstütze*"</formula>
    </cfRule>
  </conditionalFormatting>
  <conditionalFormatting sqref="L37:L38 L53:L54">
    <cfRule type="cellIs" dxfId="21" priority="3" stopIfTrue="1" operator="equal">
      <formula>"*"</formula>
    </cfRule>
  </conditionalFormatting>
  <printOptions horizontalCentered="1"/>
  <pageMargins left="0.78740157480314965" right="0.39370078740157483" top="0.3" bottom="0.31496062992125984" header="0.31496062992125984" footer="0.31496062992125984"/>
  <pageSetup paperSize="9" scale="62" fitToHeight="3" orientation="portrait" horizontalDpi="300" verticalDpi="300" r:id="rId1"/>
  <headerFooter alignWithMargins="0">
    <oddFooter>Seite &amp;P von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>
              <from>
                <xdr:col>4</xdr:col>
                <xdr:colOff>95250</xdr:colOff>
                <xdr:row>7</xdr:row>
                <xdr:rowOff>66675</xdr:rowOff>
              </from>
              <to>
                <xdr:col>4</xdr:col>
                <xdr:colOff>1438275</xdr:colOff>
                <xdr:row>8</xdr:row>
                <xdr:rowOff>161925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>
              <from>
                <xdr:col>4</xdr:col>
                <xdr:colOff>323850</xdr:colOff>
                <xdr:row>3</xdr:row>
                <xdr:rowOff>66675</xdr:rowOff>
              </from>
              <to>
                <xdr:col>4</xdr:col>
                <xdr:colOff>1495425</xdr:colOff>
                <xdr:row>4</xdr:row>
                <xdr:rowOff>142875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8">
          <objectPr defaultSize="0" autoPict="0" r:id="rId9">
            <anchor moveWithCells="1">
              <from>
                <xdr:col>4</xdr:col>
                <xdr:colOff>2819400</xdr:colOff>
                <xdr:row>3</xdr:row>
                <xdr:rowOff>190500</xdr:rowOff>
              </from>
              <to>
                <xdr:col>5</xdr:col>
                <xdr:colOff>1057275</xdr:colOff>
                <xdr:row>12</xdr:row>
                <xdr:rowOff>95250</xdr:rowOff>
              </to>
            </anchor>
          </objectPr>
        </oleObject>
      </mc:Choice>
      <mc:Fallback>
        <oleObject progId="Equation.3" shapeId="8195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BJ65"/>
  <sheetViews>
    <sheetView showGridLines="0" topLeftCell="A31" zoomScale="112" zoomScaleNormal="112" zoomScaleSheetLayoutView="85" workbookViewId="0">
      <selection activeCell="C41" sqref="C41"/>
    </sheetView>
  </sheetViews>
  <sheetFormatPr baseColWidth="10" defaultRowHeight="12.75"/>
  <cols>
    <col min="1" max="1" width="41" style="4" customWidth="1"/>
    <col min="2" max="2" width="8.7109375" style="30" customWidth="1"/>
    <col min="3" max="3" width="14.42578125" style="3" customWidth="1"/>
    <col min="4" max="4" width="13.7109375" style="3" customWidth="1"/>
    <col min="5" max="5" width="45.7109375" style="4" customWidth="1"/>
    <col min="6" max="6" width="23.140625" style="4" customWidth="1"/>
    <col min="7" max="7" width="17.85546875" style="5" customWidth="1"/>
    <col min="8" max="8" width="14" style="5" customWidth="1"/>
    <col min="9" max="9" width="47.85546875" style="6" customWidth="1"/>
    <col min="10" max="10" width="2.85546875" style="6" customWidth="1"/>
    <col min="11" max="11" width="62.7109375" style="6" customWidth="1"/>
    <col min="12" max="12" width="19" style="6" customWidth="1"/>
    <col min="13" max="13" width="21.28515625" style="6" customWidth="1"/>
    <col min="14" max="14" width="103.28515625" style="6" customWidth="1"/>
    <col min="15" max="15" width="17.28515625" style="6" customWidth="1"/>
    <col min="16" max="16" width="63.28515625" style="6" customWidth="1"/>
    <col min="17" max="17" width="21.42578125" style="6" customWidth="1"/>
    <col min="18" max="18" width="18.28515625" style="6" customWidth="1"/>
    <col min="19" max="21" width="6.7109375" style="6" customWidth="1"/>
    <col min="22" max="22" width="5.42578125" style="6" customWidth="1"/>
    <col min="23" max="23" width="8" style="6" customWidth="1"/>
    <col min="24" max="40" width="6.7109375" style="6" customWidth="1"/>
    <col min="41" max="62" width="11.42578125" style="6"/>
    <col min="63" max="16384" width="11.42578125" style="4"/>
  </cols>
  <sheetData>
    <row r="1" spans="1:62" s="52" customFormat="1" ht="39.950000000000003" customHeight="1">
      <c r="A1" s="3"/>
      <c r="B1" s="53"/>
      <c r="C1" s="54"/>
      <c r="D1" s="54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</row>
    <row r="2" spans="1:62">
      <c r="A2" s="2" t="str">
        <f>IF('Eingabe - Input'!$D$22=1,I2,N2)</f>
        <v>Gesamtelement (Hilfswerte und Zwischenergebnisse)</v>
      </c>
      <c r="B2" s="31"/>
      <c r="D2" s="68"/>
      <c r="E2" s="2" t="str">
        <f>IF('Eingabe - Input'!$D$22=1,M2,R2)</f>
        <v>Erläuterungen/Formeln</v>
      </c>
      <c r="F2" s="2"/>
      <c r="G2" s="18" t="s">
        <v>104</v>
      </c>
      <c r="H2" s="18" t="s">
        <v>101</v>
      </c>
      <c r="I2" s="2" t="s">
        <v>99</v>
      </c>
      <c r="J2" s="2"/>
      <c r="K2" s="3"/>
      <c r="L2" s="3"/>
      <c r="M2" s="2" t="s">
        <v>1</v>
      </c>
      <c r="N2" s="2" t="s">
        <v>175</v>
      </c>
      <c r="O2" s="2"/>
      <c r="P2" s="3"/>
      <c r="Q2" s="3"/>
      <c r="R2" s="2" t="s">
        <v>176</v>
      </c>
    </row>
    <row r="3" spans="1:62" ht="15.75">
      <c r="A3" s="4" t="str">
        <f>IF('Eingabe - Input'!$D$22=1,I3,N3)</f>
        <v>Langzeitschubmodul</v>
      </c>
      <c r="B3" s="59" t="s">
        <v>220</v>
      </c>
      <c r="C3" s="3">
        <f>'Eingabe - Input'!$D$51/(1+'Eingabe - Input'!$M$52)</f>
        <v>1</v>
      </c>
      <c r="D3" s="67" t="s">
        <v>90</v>
      </c>
      <c r="E3" s="2"/>
      <c r="F3" s="2"/>
      <c r="G3" s="18"/>
      <c r="H3" s="18"/>
      <c r="I3" s="57" t="s">
        <v>219</v>
      </c>
      <c r="J3" s="2"/>
      <c r="K3" s="3"/>
      <c r="L3" s="3"/>
      <c r="M3" s="2"/>
      <c r="N3" s="6" t="s">
        <v>236</v>
      </c>
      <c r="O3" s="2"/>
      <c r="P3" s="3"/>
      <c r="Q3" s="3"/>
      <c r="R3" s="2"/>
    </row>
    <row r="4" spans="1:62">
      <c r="A4" s="4" t="str">
        <f>IF('Eingabe - Input'!$D$22=1,I4,N4)</f>
        <v>Deckschichtabstand</v>
      </c>
      <c r="B4" s="30" t="s">
        <v>28</v>
      </c>
      <c r="C4" s="8">
        <f>'Eingabe - Input'!$D$33-'Eingabe - Input'!$D$44-'Eingabe - Input'!$E$45-'Eingabe - Input'!$D$41/2-'Eingabe - Input'!$E$41/2</f>
        <v>79.16</v>
      </c>
      <c r="D4" s="7" t="s">
        <v>87</v>
      </c>
      <c r="I4" s="4" t="s">
        <v>170</v>
      </c>
      <c r="N4" s="4" t="s">
        <v>82</v>
      </c>
    </row>
    <row r="5" spans="1:62" ht="15.75">
      <c r="A5" s="4" t="str">
        <f>IF('Eingabe - Input'!$D$22=1,I5,N5)</f>
        <v>Kernfläche</v>
      </c>
      <c r="B5" s="30" t="s">
        <v>29</v>
      </c>
      <c r="C5" s="8">
        <f>C4*100/10</f>
        <v>791.6</v>
      </c>
      <c r="D5" s="7" t="s">
        <v>109</v>
      </c>
      <c r="I5" s="4" t="s">
        <v>171</v>
      </c>
      <c r="N5" s="4" t="s">
        <v>172</v>
      </c>
    </row>
    <row r="6" spans="1:62" ht="15.75">
      <c r="A6" s="4" t="s">
        <v>92</v>
      </c>
      <c r="B6" s="30" t="s">
        <v>30</v>
      </c>
      <c r="C6" s="10">
        <f>('Eingabe - Input'!$D$47/10)*'Eingabe - Input'!$D$42*('Eingabe - Input'!$E$47/10)*'Eingabe - Input'!$E$42*(($C$4/10)^2)/(('Eingabe - Input'!$D$47/10)*'Eingabe - Input'!$D$42+('Eingabe - Input'!$E$47/10)*'Eingabe - Input'!$E$42)</f>
        <v>3197092.7274364149</v>
      </c>
      <c r="D6" s="7" t="s">
        <v>93</v>
      </c>
      <c r="I6" s="4"/>
      <c r="N6" s="4"/>
    </row>
    <row r="7" spans="1:62" ht="15.75">
      <c r="A7" s="6" t="s">
        <v>107</v>
      </c>
      <c r="B7" s="32" t="s">
        <v>31</v>
      </c>
      <c r="C7" s="10">
        <f>'Eingabe - Input'!$M$43*'Eingabe - Input'!$D$47/10</f>
        <v>2755.619999999999</v>
      </c>
      <c r="D7" s="7" t="s">
        <v>93</v>
      </c>
    </row>
    <row r="8" spans="1:62" customFormat="1" ht="15.75">
      <c r="A8" s="6" t="s">
        <v>106</v>
      </c>
      <c r="B8" s="32" t="s">
        <v>32</v>
      </c>
      <c r="C8" s="10">
        <f>'Eingabe - Input'!$E$43*'Eingabe - Input'!$E$47/10</f>
        <v>0</v>
      </c>
      <c r="D8" s="7" t="s">
        <v>93</v>
      </c>
      <c r="I8" s="6"/>
      <c r="J8" s="24"/>
      <c r="K8" s="24"/>
      <c r="L8" s="24"/>
      <c r="M8" s="24"/>
      <c r="N8" s="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5.75">
      <c r="A9" s="6" t="s">
        <v>152</v>
      </c>
      <c r="B9" s="32" t="s">
        <v>33</v>
      </c>
      <c r="C9" s="10">
        <f>$C$8+$C$7+$C$6</f>
        <v>3199848.347436415</v>
      </c>
      <c r="D9" s="7" t="s">
        <v>93</v>
      </c>
    </row>
    <row r="10" spans="1:62" ht="15.75">
      <c r="A10" s="6" t="s">
        <v>34</v>
      </c>
      <c r="B10" s="33" t="s">
        <v>35</v>
      </c>
      <c r="C10" s="16">
        <f>C7/C6</f>
        <v>8.6191431870341454E-4</v>
      </c>
      <c r="D10" s="7" t="s">
        <v>108</v>
      </c>
    </row>
    <row r="11" spans="1:62" ht="15.75">
      <c r="A11" s="6" t="s">
        <v>169</v>
      </c>
      <c r="B11" s="33" t="s">
        <v>36</v>
      </c>
      <c r="C11" s="16">
        <f>C8/C6</f>
        <v>0</v>
      </c>
      <c r="D11" s="7" t="s">
        <v>108</v>
      </c>
    </row>
    <row r="12" spans="1:62" ht="15.75">
      <c r="A12" s="11" t="s">
        <v>168</v>
      </c>
      <c r="B12" s="33" t="s">
        <v>37</v>
      </c>
      <c r="C12" s="16">
        <f>C11+C10</f>
        <v>8.6191431870341454E-4</v>
      </c>
      <c r="D12" s="7" t="s">
        <v>108</v>
      </c>
      <c r="I12" s="11"/>
      <c r="N12" s="11"/>
    </row>
    <row r="13" spans="1:62" ht="15.75">
      <c r="A13" s="6" t="s">
        <v>167</v>
      </c>
      <c r="B13" s="33" t="s">
        <v>38</v>
      </c>
      <c r="C13" s="69">
        <f>$C$6/(((100*'Eingabe - Input'!$M$59)^2)*($C$3/10)*$C$5)</f>
        <v>1.0096932565173113</v>
      </c>
      <c r="D13" s="7" t="s">
        <v>108</v>
      </c>
      <c r="G13" s="6"/>
    </row>
    <row r="14" spans="1:62">
      <c r="A14" s="11"/>
      <c r="B14" s="33" t="s">
        <v>105</v>
      </c>
      <c r="C14" s="16">
        <f>IF('Eingabe - Input'!$M$58=1,G14,IF('Eingabe - Input'!$M$58=2,H14,""))</f>
        <v>33.912538987596555</v>
      </c>
      <c r="D14" s="7"/>
      <c r="G14" s="16">
        <f>'Eingabe - Input'!$M$59*100*(SQRT(($C$9/($C$7+$C$8))*(($C$3/10)*$C$5/$C$6)))</f>
        <v>33.912538987596555</v>
      </c>
      <c r="H14" s="16">
        <f>SQRT((1+$C$12)/($C$12*$C$18))</f>
        <v>33.912538987596555</v>
      </c>
      <c r="I14" s="11"/>
      <c r="N14" s="11"/>
    </row>
    <row r="15" spans="1:62" ht="15.75">
      <c r="A15" s="6" t="s">
        <v>166</v>
      </c>
      <c r="B15" s="32" t="s">
        <v>39</v>
      </c>
      <c r="C15" s="16">
        <f>1-(1/(COSH(C14/2)))</f>
        <v>0.999999913500077</v>
      </c>
      <c r="D15" s="7"/>
    </row>
    <row r="16" spans="1:62" ht="15.75">
      <c r="A16" s="6" t="s">
        <v>165</v>
      </c>
      <c r="B16" s="32" t="s">
        <v>40</v>
      </c>
      <c r="C16" s="16">
        <f>TANH(C14/2)</f>
        <v>0.99999999999999611</v>
      </c>
      <c r="D16" s="7"/>
      <c r="G16" s="18"/>
      <c r="H16" s="18"/>
    </row>
    <row r="17" spans="1:62" ht="15.75">
      <c r="A17" s="6" t="s">
        <v>164</v>
      </c>
      <c r="B17" s="32" t="s">
        <v>41</v>
      </c>
      <c r="C17" s="16">
        <f>$C$3*$C$5/10</f>
        <v>79.16</v>
      </c>
      <c r="D17" s="7" t="s">
        <v>110</v>
      </c>
      <c r="G17" s="18"/>
      <c r="H17" s="18"/>
    </row>
    <row r="18" spans="1:62" ht="15.75">
      <c r="A18" s="6" t="s">
        <v>163</v>
      </c>
      <c r="B18" s="33" t="s">
        <v>42</v>
      </c>
      <c r="C18" s="16">
        <f>$C$6/($C$17*((100*'Eingabe - Input'!$M$59)^2))</f>
        <v>1.0096932565173113</v>
      </c>
      <c r="D18" s="7"/>
      <c r="E18" s="9"/>
      <c r="F18" s="9"/>
      <c r="G18" s="18"/>
      <c r="H18" s="18"/>
    </row>
    <row r="19" spans="1:62" ht="15.75">
      <c r="A19" s="4" t="str">
        <f>IF('Eingabe - Input'!$D$22=1,I19,N19)</f>
        <v>Hilfswerte und Zwischenergebnisse:</v>
      </c>
      <c r="B19" s="33" t="s">
        <v>153</v>
      </c>
      <c r="C19" s="15">
        <f>IF('Eingabe - Input'!$M$58=1,G19,IF('Eingabe - Input'!$M$58=2,H19,""))</f>
        <v>1.0848262517570411</v>
      </c>
      <c r="D19" s="7"/>
      <c r="E19" s="4" t="str">
        <f>IF('Eingabe - Input'!$M$58=1,"wird nur für 2-Feld-Berechnung benötigt","")</f>
        <v/>
      </c>
      <c r="G19" s="19">
        <v>0</v>
      </c>
      <c r="H19" s="19">
        <f>(5*(1+$C$12)+12*$C$18*(1-2*((COSH($C$14)-1)/($C$14*$C$14*COSH($C$14)))))/(4*(1+$C$12)+12*$C$18*(1-((TANH($C$14))/$C$14)))</f>
        <v>1.0848262517570411</v>
      </c>
      <c r="I19" s="6" t="s">
        <v>173</v>
      </c>
      <c r="N19" s="6" t="s">
        <v>174</v>
      </c>
    </row>
    <row r="20" spans="1:62" ht="15.75">
      <c r="A20" s="11"/>
      <c r="B20" s="33" t="s">
        <v>154</v>
      </c>
      <c r="C20" s="15">
        <f>IF('Eingabe - Input'!$M$58=1,G20,IF('Eingabe - Input'!$M$58=2,H20,""))</f>
        <v>0.45758687412147947</v>
      </c>
      <c r="D20" s="7"/>
      <c r="E20" s="4" t="str">
        <f>IF('Eingabe - Input'!$M$58=1,"wird nur für 2-Feld-Berechnung benötigt","")</f>
        <v/>
      </c>
      <c r="G20" s="19">
        <v>0</v>
      </c>
      <c r="H20" s="19">
        <f>1-($H$19/2)</f>
        <v>0.45758687412147947</v>
      </c>
    </row>
    <row r="21" spans="1:62" ht="15.75">
      <c r="A21" s="11"/>
      <c r="B21" s="33" t="s">
        <v>155</v>
      </c>
      <c r="C21" s="15">
        <f>IF('Eingabe - Input'!$M$58=1,G21,IF('Eingabe - Input'!$M$58=2,H21,""))</f>
        <v>2.7264674556159208E-2</v>
      </c>
      <c r="D21" s="7"/>
      <c r="E21" s="4" t="str">
        <f>IF('Eingabe - Input'!$M$58=1,"wird nur für 2-Feld-Berechnung benötigt","")</f>
        <v/>
      </c>
      <c r="G21" s="19">
        <v>0</v>
      </c>
      <c r="H21" s="19">
        <f>(1/(1+$C$12))*(($H$19/2)*(1-((TANH($C$14))/$C$14))-0.5+((COSH($C$14)-1)/($C$14*$C$14*(COSH($C$14)))))</f>
        <v>2.7264674556159208E-2</v>
      </c>
    </row>
    <row r="22" spans="1:62" ht="15.75">
      <c r="A22" s="11"/>
      <c r="B22" s="33" t="s">
        <v>156</v>
      </c>
      <c r="C22" s="15">
        <f>IF('Eingabe - Input'!$M$58=1,G22,IF('Eingabe - Input'!$M$58=2,H22,""))</f>
        <v>1.5148451322361247E-2</v>
      </c>
      <c r="D22" s="7"/>
      <c r="E22" s="4" t="str">
        <f>IF('Eingabe - Input'!$M$58=1,"wird nur für 2-Feld-Berechnung benötigt","")</f>
        <v/>
      </c>
      <c r="G22" s="19">
        <v>0</v>
      </c>
      <c r="H22" s="19">
        <f>($C$10/(1+$C$12))*((($H$19/2)*(1+((TANH($C$14))/($C$12*$C$14)))-0.5)-((COSH($C$14)-1)/($C$12*$C$14*$C$14*(COSH($C$14)))))</f>
        <v>1.5148451322361247E-2</v>
      </c>
    </row>
    <row r="23" spans="1:62" ht="15.75">
      <c r="A23" s="11"/>
      <c r="B23" s="33" t="s">
        <v>157</v>
      </c>
      <c r="C23" s="15">
        <f>IF('Eingabe - Input'!$M$58=1,G23,IF('Eingabe - Input'!$M$58=2,H23,""))</f>
        <v>0</v>
      </c>
      <c r="D23" s="7"/>
      <c r="E23" s="4" t="str">
        <f>IF('Eingabe - Input'!$M$58=1,"wird nur für 2-Feld-Berechnung benötigt","")</f>
        <v/>
      </c>
      <c r="G23" s="19">
        <v>0</v>
      </c>
      <c r="H23" s="19">
        <f>($C$11/(1+$C$12))*((($H$19/2)*(1+((TANH($C$14))/($C$12*$C$14)))-0.5)-((COSH($C$14)-1)/($C$12*$C$14*$C$14*(COSH($C$14)))))</f>
        <v>0</v>
      </c>
    </row>
    <row r="24" spans="1:62" ht="15.75">
      <c r="A24" s="11"/>
      <c r="B24" s="33" t="s">
        <v>162</v>
      </c>
      <c r="C24" s="15">
        <f>IF('Eingabe - Input'!$M$58=1,G24,IF('Eingabe - Input'!$M$58=2,H24,""))</f>
        <v>-0.76063236548444335</v>
      </c>
      <c r="D24" s="7"/>
      <c r="E24" s="4" t="str">
        <f>IF('Eingabe - Input'!$M$58=1,"wird nur für 2-Feld-Berechnung benötigt","")</f>
        <v/>
      </c>
      <c r="G24" s="19">
        <v>0</v>
      </c>
      <c r="H24" s="19">
        <f>-(3*(1+$C$12)*(1-(2*(((COSH($C$14))-1)/($C$14*$C$14*(COSH($C$14)))))))/(1+$C$12+3*$C$18*(1-((TANH($C$14))/$C$14)))</f>
        <v>-0.76063236548444335</v>
      </c>
    </row>
    <row r="25" spans="1:62" ht="15.75">
      <c r="A25" s="11"/>
      <c r="B25" s="33" t="s">
        <v>161</v>
      </c>
      <c r="C25" s="15">
        <f>IF('Eingabe - Input'!$M$58=1,G25,IF('Eingabe - Input'!$M$58=2,H25,""))</f>
        <v>0.38031618274222168</v>
      </c>
      <c r="D25" s="7"/>
      <c r="E25" s="4" t="str">
        <f>IF('Eingabe - Input'!$M$58=1,"wird nur für 2-Feld-Berechnung benötigt","")</f>
        <v/>
      </c>
      <c r="G25" s="19">
        <v>0</v>
      </c>
      <c r="H25" s="19">
        <f>-$H$24/2</f>
        <v>0.38031618274222168</v>
      </c>
    </row>
    <row r="26" spans="1:62" ht="15.75">
      <c r="A26" s="11"/>
      <c r="B26" s="33" t="s">
        <v>160</v>
      </c>
      <c r="C26" s="15">
        <f>IF('Eingabe - Input'!$M$58=1,G26,IF('Eingabe - Input'!$M$58=2,H26,""))</f>
        <v>0.36964487647791577</v>
      </c>
      <c r="D26" s="7"/>
      <c r="E26" s="4" t="str">
        <f>IF('Eingabe - Input'!$M$58=1,"wird nur für 2-Feld-Berechnung benötigt","")</f>
        <v/>
      </c>
      <c r="G26" s="19">
        <v>0</v>
      </c>
      <c r="H26" s="19">
        <f>(1/(1+$C$12))*($C$12*(((COSH($C$14)-1))/(COSH($C$14)))-(($H$24/2)*(1-((TANH($C$14))/$C$14))))</f>
        <v>0.36964487647791577</v>
      </c>
    </row>
    <row r="27" spans="1:62" ht="15.75">
      <c r="A27" s="11"/>
      <c r="B27" s="33" t="s">
        <v>159</v>
      </c>
      <c r="C27" s="15">
        <f>IF('Eingabe - Input'!$M$58=1,G27,IF('Eingabe - Input'!$M$58=2,H27,""))</f>
        <v>1.0671306264305888E-2</v>
      </c>
      <c r="D27" s="7"/>
      <c r="E27" s="4" t="str">
        <f>IF('Eingabe - Input'!$M$58=1,"wird nur für 2-Feld-Berechnung benötigt","")</f>
        <v/>
      </c>
      <c r="G27" s="19">
        <v>0</v>
      </c>
      <c r="H27" s="19">
        <f>($C$10/(1+$C$12))*(((-(COSH($C$14))-1)/(COSH($C$14)))-($H$24/2)*(1+((TANH($C$14))/($C$12*$C$14))))</f>
        <v>1.0671306264305888E-2</v>
      </c>
    </row>
    <row r="28" spans="1:62" ht="15.75">
      <c r="A28" s="11"/>
      <c r="B28" s="33" t="s">
        <v>158</v>
      </c>
      <c r="C28" s="15">
        <f>IF('Eingabe - Input'!$M$58=1,G28,IF('Eingabe - Input'!$M$58=2,H28,""))</f>
        <v>0</v>
      </c>
      <c r="D28" s="7"/>
      <c r="E28" s="4" t="str">
        <f>IF('Eingabe - Input'!$M$58=1,"wird nur für 2-Feld-Berechnung benötigt","")</f>
        <v/>
      </c>
      <c r="G28" s="19">
        <v>0</v>
      </c>
      <c r="H28" s="19">
        <f>($C$11/(1+$C$12))*(((-(COSH($C$14))-1)/(COSH($C$14)))-($H$24/2)*(1+((TANH($C$14))/($C$12*$C$14))))</f>
        <v>0</v>
      </c>
    </row>
    <row r="29" spans="1:62" ht="70.7" customHeight="1">
      <c r="B29" s="32"/>
      <c r="C29" s="15"/>
      <c r="D29" s="7"/>
      <c r="G29" s="19"/>
      <c r="H29" s="19"/>
    </row>
    <row r="30" spans="1:62" ht="84" customHeight="1">
      <c r="A30" s="34"/>
      <c r="B30" s="35"/>
      <c r="C30" s="36"/>
      <c r="D30" s="37"/>
      <c r="E30" s="34"/>
      <c r="F30" s="34"/>
      <c r="G30" s="17"/>
      <c r="H30" s="17"/>
    </row>
    <row r="31" spans="1:62" s="44" customFormat="1" ht="12.95" customHeight="1">
      <c r="A31" s="38" t="str">
        <f>IF('Eingabe - Input'!$D$22=1,I31,N31)</f>
        <v>Schnittgrößenbezeichnungen am Querschnitt</v>
      </c>
      <c r="B31" s="39"/>
      <c r="C31" s="40"/>
      <c r="D31" s="41"/>
      <c r="E31" s="38" t="str">
        <f>IF('Eingabe - Input'!$D$22=1,M31,R31)</f>
        <v>Spannungsverteilung</v>
      </c>
      <c r="F31" s="38"/>
      <c r="G31" s="42"/>
      <c r="H31" s="42"/>
      <c r="I31" s="43" t="s">
        <v>111</v>
      </c>
      <c r="J31" s="43"/>
      <c r="K31" s="43"/>
      <c r="L31" s="43"/>
      <c r="M31" s="43" t="s">
        <v>112</v>
      </c>
      <c r="N31" s="42" t="s">
        <v>113</v>
      </c>
      <c r="O31" s="43"/>
      <c r="P31" s="43"/>
      <c r="Q31" s="43"/>
      <c r="R31" s="43" t="s">
        <v>114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 s="44" customFormat="1" ht="39" customHeight="1">
      <c r="A32" s="38"/>
      <c r="B32" s="39"/>
      <c r="C32" s="40"/>
      <c r="D32" s="41"/>
      <c r="E32" s="38"/>
      <c r="F32" s="38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1:18">
      <c r="A33" s="2" t="str">
        <f>IF('Eingabe - Input'!$D$22=1,I33,N33)</f>
        <v>Schnittgrößen für Gleichstreckenlast</v>
      </c>
      <c r="B33" s="31" t="s">
        <v>335</v>
      </c>
      <c r="C33" s="20">
        <f>'Eingabe - Input'!M57</f>
        <v>1</v>
      </c>
      <c r="D33" s="74" t="s">
        <v>97</v>
      </c>
      <c r="F33" s="18" t="s">
        <v>104</v>
      </c>
      <c r="H33" s="18" t="s">
        <v>101</v>
      </c>
      <c r="I33" s="2" t="s">
        <v>43</v>
      </c>
      <c r="J33" s="2"/>
      <c r="K33" s="20"/>
      <c r="L33" s="12"/>
      <c r="M33" s="7"/>
      <c r="N33" s="1" t="s">
        <v>81</v>
      </c>
      <c r="O33" s="25"/>
      <c r="P33" s="25"/>
      <c r="Q33" s="25"/>
    </row>
    <row r="34" spans="1:18" s="6" customFormat="1" ht="15.75">
      <c r="A34" s="4" t="str">
        <f>IF('Eingabe - Input'!$D$22=1,I34,N34)</f>
        <v>Sandwichmoment</v>
      </c>
      <c r="B34" s="30" t="s">
        <v>44</v>
      </c>
      <c r="C34" s="13">
        <f>IF('Eingabe - Input'!$M$58=1,F34,IF('Eingabe - Input'!$M$58=2,H34,""))</f>
        <v>-0.10905869822463683</v>
      </c>
      <c r="D34" s="7" t="s">
        <v>100</v>
      </c>
      <c r="E34" s="4" t="str">
        <f>IF('Eingabe - Input'!$D$22=1,M34,R34)</f>
        <v>über Innenstütze</v>
      </c>
      <c r="F34" s="19">
        <f>$C$33*'Eingabe - Input'!$M$59^2/8*(1/(1+$C$12))*(1-(8*$C$15/($C$14^2)))</f>
        <v>0.49609433099803335</v>
      </c>
      <c r="H34" s="19">
        <f>-$H$21*$C$33*'Eingabe - Input'!$M$59*'Eingabe - Input'!$M$59</f>
        <v>-0.10905869822463683</v>
      </c>
      <c r="I34" s="4" t="s">
        <v>46</v>
      </c>
      <c r="J34" s="4"/>
      <c r="K34" s="13"/>
      <c r="L34" s="7"/>
      <c r="M34" s="4" t="str">
        <f>IF('Eingabe - Input'!$D$58=1,"in Feldmitte","über Innenstütze")</f>
        <v>über Innenstütze</v>
      </c>
      <c r="N34" s="1" t="s">
        <v>66</v>
      </c>
      <c r="O34" s="25"/>
      <c r="P34" s="25"/>
      <c r="Q34" s="25"/>
      <c r="R34" s="4" t="str">
        <f>IF('Eingabe - Input'!$D$58=1,"at midspan","at intermediate support")</f>
        <v>at intermediate support</v>
      </c>
    </row>
    <row r="35" spans="1:18" s="6" customFormat="1" ht="15.75">
      <c r="A35" s="4" t="str">
        <f>IF('Eingabe - Input'!$D$22=1,I35,N35)</f>
        <v>Deckschichtmoment</v>
      </c>
      <c r="B35" s="30" t="s">
        <v>45</v>
      </c>
      <c r="C35" s="13">
        <f>IF('Eingabe - Input'!$M$58=1,F35,IF('Eingabe - Input'!$M$58=2,H35,""))</f>
        <v>-6.0593805289444989E-2</v>
      </c>
      <c r="D35" s="7" t="s">
        <v>100</v>
      </c>
      <c r="E35" s="4" t="str">
        <f>IF('Eingabe - Input'!$D$22=1,M35,R35)</f>
        <v>über Innenstütze</v>
      </c>
      <c r="F35" s="19">
        <f>$C$33*'Eingabe - Input'!$M$59^2/8*($C$10/(1+$C$12))*(1+(8*$C$15/($C$12*$C$14^2)))</f>
        <v>3.9056690019666248E-3</v>
      </c>
      <c r="H35" s="19">
        <f>-$H$22*$C$33*'Eingabe - Input'!$M$59*'Eingabe - Input'!$M$59</f>
        <v>-6.0593805289444989E-2</v>
      </c>
      <c r="I35" s="4" t="s">
        <v>47</v>
      </c>
      <c r="J35" s="4"/>
      <c r="K35" s="13"/>
      <c r="L35" s="7"/>
      <c r="M35" s="4" t="str">
        <f>IF('Eingabe - Input'!$D$58=1,"in Feldmitte","über Innenstütze")</f>
        <v>über Innenstütze</v>
      </c>
      <c r="N35" s="1" t="s">
        <v>64</v>
      </c>
      <c r="O35" s="25"/>
      <c r="P35" s="25"/>
      <c r="Q35" s="25"/>
      <c r="R35" s="4" t="str">
        <f>IF('Eingabe - Input'!$D$58=1,"at midspan","at intermediate support")</f>
        <v>at intermediate support</v>
      </c>
    </row>
    <row r="36" spans="1:18" s="6" customFormat="1" ht="15.75">
      <c r="A36" s="4" t="str">
        <f>IF('Eingabe - Input'!$D$22=1,I36,N36)</f>
        <v>Deckschichtmoment</v>
      </c>
      <c r="B36" s="30" t="s">
        <v>79</v>
      </c>
      <c r="C36" s="13">
        <f>IF('Eingabe - Input'!$M$58=1,F36,IF('Eingabe - Input'!$M$58=2,H36,""))</f>
        <v>0</v>
      </c>
      <c r="D36" s="7" t="s">
        <v>100</v>
      </c>
      <c r="E36" s="4" t="str">
        <f>IF('Eingabe - Input'!$D$22=1,M36,R36)</f>
        <v>über Innenstütze</v>
      </c>
      <c r="F36" s="19">
        <f>$C$33*'Eingabe - Input'!$M$59^2/8*($C$11/(1+$C$12))*(1+(8*$C$15/($C$12*$C$14^2)))</f>
        <v>0</v>
      </c>
      <c r="H36" s="19">
        <f>-$H$23*$C$33*'Eingabe - Input'!$M$59*'Eingabe - Input'!$M$59</f>
        <v>0</v>
      </c>
      <c r="I36" s="4" t="s">
        <v>47</v>
      </c>
      <c r="J36" s="4"/>
      <c r="K36" s="13"/>
      <c r="L36" s="7"/>
      <c r="M36" s="4" t="str">
        <f>IF('Eingabe - Input'!$D$58=1,"in Feldmitte","über Innenstütze")</f>
        <v>über Innenstütze</v>
      </c>
      <c r="N36" s="1" t="s">
        <v>65</v>
      </c>
      <c r="O36" s="15"/>
      <c r="P36" s="15"/>
      <c r="Q36" s="15"/>
      <c r="R36" s="4" t="str">
        <f>IF('Eingabe - Input'!$D$58=1,"at midspan","at intermediate support")</f>
        <v>at intermediate support</v>
      </c>
    </row>
    <row r="37" spans="1:18" s="6" customFormat="1" ht="15.75">
      <c r="A37" s="4" t="str">
        <f>IF('Eingabe - Input'!$D$22=1,I37,N37)</f>
        <v>Querkraft in der Kernschicht</v>
      </c>
      <c r="B37" s="30" t="s">
        <v>49</v>
      </c>
      <c r="C37" s="13">
        <f>IF('Eingabe - Input'!$M$58=1,F37,IF('Eingabe - Input'!$M$58=2,IF(ABS(H37)&lt;ABS(H38), H38,H37),""))</f>
        <v>1.0199692411321011</v>
      </c>
      <c r="D37" s="7" t="s">
        <v>102</v>
      </c>
      <c r="E37" s="4" t="str">
        <f>IF('Eingabe - Input'!$D$22=1,M37,R37)</f>
        <v>neben der Innenstütze*</v>
      </c>
      <c r="F37" s="19">
        <f>$C$33*'Eingabe - Input'!$M$59/2*(1/(1+$C$12))*(1-(2*$C$16/$C$14))</f>
        <v>0.94021437947330821</v>
      </c>
      <c r="G37" s="123" t="s">
        <v>338</v>
      </c>
      <c r="H37" s="19">
        <f>H41/2*(1/(1+$C$12))*(1-(2*$C$16/$C$14))</f>
        <v>1.0199692411321011</v>
      </c>
      <c r="I37" s="4" t="s">
        <v>48</v>
      </c>
      <c r="J37" s="4"/>
      <c r="K37" s="13"/>
      <c r="L37" s="7"/>
      <c r="M37" s="4" t="str">
        <f>IF('Eingabe - Input'!$D$58=1,"am Endauflager","neben der Innenstütze*")</f>
        <v>neben der Innenstütze*</v>
      </c>
      <c r="N37" s="28" t="s">
        <v>67</v>
      </c>
      <c r="O37" s="15"/>
      <c r="P37" s="15"/>
      <c r="Q37" s="15"/>
      <c r="R37" s="4" t="str">
        <f>IF('Eingabe - Input'!$D$58=1,"at end support","beside the intermediate support*")</f>
        <v>beside the intermediate support*</v>
      </c>
    </row>
    <row r="38" spans="1:18" s="6" customFormat="1" ht="15.75">
      <c r="A38" s="4" t="str">
        <f>IF('Eingabe - Input'!$D$22=1,I38,N38)</f>
        <v>Querkraft in Deckschicht</v>
      </c>
      <c r="B38" s="30" t="s">
        <v>50</v>
      </c>
      <c r="C38" s="13" t="str">
        <f>IF('Eingabe - Input'!$M$58=1,F38,IF('Eingabe - Input'!$M$58=2,"",""))</f>
        <v/>
      </c>
      <c r="D38" s="7" t="s">
        <v>102</v>
      </c>
      <c r="E38" s="4" t="str">
        <f>IF('Eingabe - Input'!$D$22=1,M38,R38)</f>
        <v>*</v>
      </c>
      <c r="F38" s="19">
        <f>$C$33*'Eingabe - Input'!$M$59/2*($C$10/(1+$C$12))*(1+(2*$C$16/($C$12*$C$14)))</f>
        <v>5.9785620526691854E-2</v>
      </c>
      <c r="G38" s="123" t="s">
        <v>337</v>
      </c>
      <c r="H38" s="19">
        <f>H40*(1/(1+$C$12))*(1-(2*$C$16/$C$14))</f>
        <v>0.86045951781451513</v>
      </c>
      <c r="I38" s="4" t="s">
        <v>54</v>
      </c>
      <c r="J38" s="4"/>
      <c r="K38" s="13"/>
      <c r="L38" s="7"/>
      <c r="M38" s="4" t="str">
        <f>IF('Eingabe - Input'!$D$58=1,"am Endauflager","*")</f>
        <v>*</v>
      </c>
      <c r="N38" s="28" t="s">
        <v>68</v>
      </c>
      <c r="O38" s="15"/>
      <c r="P38" s="15"/>
      <c r="Q38" s="15"/>
      <c r="R38" s="4" t="str">
        <f>IF('Eingabe - Input'!$D$58=1,"at end support","*")</f>
        <v>*</v>
      </c>
    </row>
    <row r="39" spans="1:18" s="6" customFormat="1" ht="15.75">
      <c r="A39" s="4" t="str">
        <f>IF('Eingabe - Input'!$D$22=1,I39,N39)</f>
        <v>Querkraft in Deckschicht</v>
      </c>
      <c r="B39" s="30" t="s">
        <v>51</v>
      </c>
      <c r="C39" s="13" t="str">
        <f>IF('Eingabe - Input'!$M$58=1,F39,IF('Eingabe - Input'!$M$58=2,"",""))</f>
        <v/>
      </c>
      <c r="D39" s="7" t="s">
        <v>102</v>
      </c>
      <c r="E39" s="4" t="str">
        <f>IF('Eingabe - Input'!$D$22=1,M39,R39)</f>
        <v>*</v>
      </c>
      <c r="F39" s="19">
        <f>$C$33*'Eingabe - Input'!$M$59/2*($C$11/(1+$C$12))*(1+(2*$C$16/($C$12*$C$14)))</f>
        <v>0</v>
      </c>
      <c r="G39" s="5"/>
      <c r="H39" s="19"/>
      <c r="I39" s="4" t="s">
        <v>54</v>
      </c>
      <c r="J39" s="4"/>
      <c r="K39" s="13"/>
      <c r="L39" s="7"/>
      <c r="M39" s="4" t="str">
        <f>IF('Eingabe - Input'!$D$58=1,"am Endauflager","*")</f>
        <v>*</v>
      </c>
      <c r="N39" s="28" t="s">
        <v>69</v>
      </c>
      <c r="O39" s="15"/>
      <c r="P39" s="15"/>
      <c r="Q39" s="15"/>
      <c r="R39" s="4" t="str">
        <f>IF('Eingabe - Input'!$D$58=1,"at end support","*")</f>
        <v>*</v>
      </c>
    </row>
    <row r="40" spans="1:18" s="6" customFormat="1" ht="15.75">
      <c r="A40" s="4" t="str">
        <f>IF('Eingabe - Input'!$D$22=1,I40,N40)</f>
        <v>Endauflagerkraft</v>
      </c>
      <c r="B40" s="30" t="s">
        <v>52</v>
      </c>
      <c r="C40" s="13">
        <f>IF('Eingabe - Input'!$M$58=1,F40,IF('Eingabe - Input'!$M$58=2,H40,""))</f>
        <v>0.91517374824295894</v>
      </c>
      <c r="D40" s="7" t="s">
        <v>102</v>
      </c>
      <c r="E40" s="4" t="str">
        <f>IF('Eingabe - Input'!$D$22=1,M40,R40)</f>
        <v>-</v>
      </c>
      <c r="F40" s="19">
        <f>F39+F38+F37</f>
        <v>1</v>
      </c>
      <c r="G40" s="5"/>
      <c r="H40" s="19">
        <f>$H$20*$C$33*'Eingabe - Input'!$M$59</f>
        <v>0.91517374824295894</v>
      </c>
      <c r="I40" s="4" t="s">
        <v>55</v>
      </c>
      <c r="J40" s="4"/>
      <c r="K40" s="13"/>
      <c r="L40" s="7"/>
      <c r="M40" s="4" t="s">
        <v>108</v>
      </c>
      <c r="N40" s="28" t="s">
        <v>70</v>
      </c>
      <c r="Q40" s="15"/>
      <c r="R40" s="4" t="s">
        <v>108</v>
      </c>
    </row>
    <row r="41" spans="1:18" s="6" customFormat="1" ht="15.75">
      <c r="A41" s="4" t="str">
        <f>IF('Eingabe - Input'!$D$22=1,I41,N41)</f>
        <v>Zwischenauflagerkraft</v>
      </c>
      <c r="B41" s="32" t="s">
        <v>53</v>
      </c>
      <c r="C41" s="13">
        <f>IF('Eingabe - Input'!$M$58=1,"",IF('Eingabe - Input'!$M$58=2,H41,""))</f>
        <v>2.1696525035140821</v>
      </c>
      <c r="D41" s="7" t="s">
        <v>102</v>
      </c>
      <c r="E41" s="4" t="str">
        <f>IF('Eingabe - Input'!$D$22=1,M41,R41)</f>
        <v>-</v>
      </c>
      <c r="F41" s="19"/>
      <c r="G41" s="5"/>
      <c r="H41" s="19">
        <f>$H$19*$C$33*'Eingabe - Input'!$M$59</f>
        <v>2.1696525035140821</v>
      </c>
      <c r="I41" s="6" t="s">
        <v>56</v>
      </c>
      <c r="K41" s="13"/>
      <c r="L41" s="7"/>
      <c r="M41" s="4" t="s">
        <v>108</v>
      </c>
      <c r="N41" s="1" t="s">
        <v>71</v>
      </c>
      <c r="R41" s="4" t="s">
        <v>108</v>
      </c>
    </row>
    <row r="42" spans="1:18" s="6" customFormat="1" ht="15.75">
      <c r="A42" s="4" t="str">
        <f>IF('Eingabe - Input'!$D$22=1,I42,N42)</f>
        <v>Normalspannungen oberes Deckblech außen</v>
      </c>
      <c r="B42" s="33" t="s">
        <v>58</v>
      </c>
      <c r="C42" s="14">
        <f>IF('Eingabe - Input'!$M$43=0,(-C34*10000/($C$4*'Eingabe - Input'!$D$42)),(-C34*10000/($C$4*'Eingabe - Input'!$D$42))-(C35*100*'Eingabe - Input'!$D$44/('Eingabe - Input'!$M$43)))</f>
        <v>11.782032336994448</v>
      </c>
      <c r="D42" s="7" t="s">
        <v>90</v>
      </c>
      <c r="E42" s="4" t="str">
        <f>IF('Eingabe - Input'!$D$22=1,M42,R42)</f>
        <v>über Innenstütze</v>
      </c>
      <c r="F42" s="14">
        <f>IF('Eingabe - Input'!$M$43=0,(-F34*10000/($C$4*'Eingabe - Input'!$D$42)),(-F34*10000/($C$4*'Eingabe - Input'!$D$42))-(F35*100*'Eingabe - Input'!$D$44/('Eingabe - Input'!$M$43)))</f>
        <v>-12.179356705557963</v>
      </c>
      <c r="G42" s="5"/>
      <c r="H42" s="14">
        <f>IF('Eingabe - Input'!$M$43=0,(-H34*10000/($C$4*'Eingabe - Input'!$D$42)),(-H34*10000/($C$4*'Eingabe - Input'!$D$42))-(H35*100*'Eingabe - Input'!$D$44/('Eingabe - Input'!$M$43)))</f>
        <v>11.782032336994448</v>
      </c>
      <c r="I42" s="6" t="s">
        <v>72</v>
      </c>
      <c r="K42" s="14"/>
      <c r="L42" s="7"/>
      <c r="M42" s="4" t="str">
        <f>IF('Eingabe - Input'!$D$58=1,"in Feldmitte","über Innenstütze")</f>
        <v>über Innenstütze</v>
      </c>
      <c r="N42" s="1" t="s">
        <v>74</v>
      </c>
      <c r="R42" s="4" t="str">
        <f>IF('Eingabe - Input'!$D$58=1,"at midspan","at intermediate support")</f>
        <v>at intermediate support</v>
      </c>
    </row>
    <row r="43" spans="1:18" s="6" customFormat="1" ht="15.75">
      <c r="A43" s="4" t="str">
        <f>IF('Eingabe - Input'!$D$22=1,I43,N43)</f>
        <v>Normalspannungen oberes Deckblech innen</v>
      </c>
      <c r="B43" s="33" t="s">
        <v>59</v>
      </c>
      <c r="C43" s="14">
        <f>IF('Eingabe - Input'!$M$43=0,(-C34*10000/($C$4*'Eingabe - Input'!$D$42)),(-C34*10000/($C$4*'Eingabe - Input'!$D$42))+(C35*100*'Eingabe - Input'!$D$45/('Eingabe - Input'!$M$43)))</f>
        <v>-6.6888731010317741</v>
      </c>
      <c r="D43" s="7" t="s">
        <v>90</v>
      </c>
      <c r="E43" s="4" t="str">
        <f>IF('Eingabe - Input'!$D$22=1,M43,R43)</f>
        <v>über Innenstütze</v>
      </c>
      <c r="F43" s="14">
        <f>IF('Eingabe - Input'!$M$43=0,(-F34*10000/($C$4*'Eingabe - Input'!$D$42)),(-F34*10000/($C$4*'Eingabe - Input'!$D$42))+(F35*100*'Eingabe - Input'!$D$45/('Eingabe - Input'!$M$43)))</f>
        <v>-10.98878545057652</v>
      </c>
      <c r="G43" s="5"/>
      <c r="H43" s="14">
        <f>IF('Eingabe - Input'!$M$43=0,(-H34*10000/($C$4*'Eingabe - Input'!$D$42)),(-H34*10000/($C$4*'Eingabe - Input'!$D$42))+(H35*100*'Eingabe - Input'!$D$45/('Eingabe - Input'!$M$43)))</f>
        <v>-6.6888731010317741</v>
      </c>
      <c r="I43" s="6" t="s">
        <v>73</v>
      </c>
      <c r="K43" s="14"/>
      <c r="L43" s="7"/>
      <c r="M43" s="4" t="str">
        <f>IF('Eingabe - Input'!$D$58=1,"in Feldmitte","über Innenstütze")</f>
        <v>über Innenstütze</v>
      </c>
      <c r="N43" s="1" t="s">
        <v>75</v>
      </c>
      <c r="R43" s="4" t="str">
        <f>IF('Eingabe - Input'!$D$58=1,"at midspan","at intermediate support")</f>
        <v>at intermediate support</v>
      </c>
    </row>
    <row r="44" spans="1:18" s="6" customFormat="1" ht="15.75">
      <c r="A44" s="4" t="str">
        <f>IF('Eingabe - Input'!$D$22=1,I44,N44)</f>
        <v>Normalspannungen unteres Deckblech innen</v>
      </c>
      <c r="B44" s="33" t="s">
        <v>60</v>
      </c>
      <c r="C44" s="14">
        <f>IF('Eingabe - Input'!$E$43=0,(C34*10000/($C$4*'Eingabe - Input'!$E$42)),(C34*10000/($C$4*'Eingabe - Input'!$E$42))-(C36*100*'Eingabe - Input'!$E$44/('Eingabe - Input'!$E$43)))</f>
        <v>-3.1240353136687151</v>
      </c>
      <c r="D44" s="7" t="s">
        <v>90</v>
      </c>
      <c r="E44" s="4" t="str">
        <f>IF('Eingabe - Input'!$D$22=1,M44,R44)</f>
        <v>über Innenstütze</v>
      </c>
      <c r="F44" s="14">
        <f>IF('Eingabe - Input'!$E$43=0,(F34*10000/($C$4*'Eingabe - Input'!$E$42)),(F34*10000/($C$4*'Eingabe - Input'!$E$42))-(F36*100*'Eingabe - Input'!$E$44/('Eingabe - Input'!$E$43)))</f>
        <v>14.21084456515732</v>
      </c>
      <c r="G44" s="5"/>
      <c r="H44" s="14">
        <f>IF('Eingabe - Input'!$E$43=0,(H34*10000/($C$4*'Eingabe - Input'!$E$42)),(H34*10000/($C$4*'Eingabe - Input'!$E$42))-(H36*100*'Eingabe - Input'!$E$44/('Eingabe - Input'!$E$43)))</f>
        <v>-3.1240353136687151</v>
      </c>
      <c r="I44" s="6" t="s">
        <v>146</v>
      </c>
      <c r="K44" s="14"/>
      <c r="L44" s="7"/>
      <c r="M44" s="4" t="str">
        <f>IF('Eingabe - Input'!$D$58=1,"in Feldmitte","über Innenstütze")</f>
        <v>über Innenstütze</v>
      </c>
      <c r="N44" s="1" t="s">
        <v>76</v>
      </c>
      <c r="R44" s="4" t="str">
        <f>IF('Eingabe - Input'!$D$58=1,"at midspan","at intermediate support")</f>
        <v>at intermediate support</v>
      </c>
    </row>
    <row r="45" spans="1:18" s="6" customFormat="1" ht="15.75">
      <c r="A45" s="4" t="str">
        <f>IF('Eingabe - Input'!$D$22=1,I45,N45)</f>
        <v>Normalspannungen unteres Deckblech außen</v>
      </c>
      <c r="B45" s="33" t="s">
        <v>61</v>
      </c>
      <c r="C45" s="14">
        <f>IF('Eingabe - Input'!$E$43=0,(C34*10000/($C$4*'Eingabe - Input'!$E$42)),(C34*10000/($C$4*'Eingabe - Input'!$E$42))+(C36*100*'Eingabe - Input'!$E$45/('Eingabe - Input'!$E$43)))</f>
        <v>-3.1240353136687151</v>
      </c>
      <c r="D45" s="7" t="s">
        <v>90</v>
      </c>
      <c r="E45" s="4" t="str">
        <f>IF('Eingabe - Input'!$D$22=1,M45,R45)</f>
        <v>über Innenstütze</v>
      </c>
      <c r="F45" s="14">
        <f>IF('Eingabe - Input'!$E$43=0,(F34*10000/($C$4*'Eingabe - Input'!$E$42)),(F34*10000/($C$4*'Eingabe - Input'!$E$42))+(F36*100*'Eingabe - Input'!$E$45/('Eingabe - Input'!$E$43)))</f>
        <v>14.21084456515732</v>
      </c>
      <c r="G45" s="5"/>
      <c r="H45" s="14">
        <f>IF('Eingabe - Input'!$E$43=0,(H34*10000/($C$4*'Eingabe - Input'!$E$42)),(H34*10000/($C$4*'Eingabe - Input'!$E$42))+(H36*100*'Eingabe - Input'!$E$45/('Eingabe - Input'!$E$43)))</f>
        <v>-3.1240353136687151</v>
      </c>
      <c r="I45" s="6" t="s">
        <v>147</v>
      </c>
      <c r="K45" s="14"/>
      <c r="L45" s="7"/>
      <c r="M45" s="4" t="str">
        <f>IF('Eingabe - Input'!$D$58=1,"in Feldmitte","über Innenstütze")</f>
        <v>über Innenstütze</v>
      </c>
      <c r="N45" s="1" t="s">
        <v>77</v>
      </c>
      <c r="R45" s="4" t="str">
        <f>IF('Eingabe - Input'!$D$58=1,"at midspan","at intermediate support")</f>
        <v>at intermediate support</v>
      </c>
    </row>
    <row r="46" spans="1:18" s="6" customFormat="1" ht="15.75">
      <c r="A46" s="4" t="str">
        <f>IF('Eingabe - Input'!$D$22=1,I46,N46)</f>
        <v>Schubspannung im Kern</v>
      </c>
      <c r="B46" s="33" t="s">
        <v>62</v>
      </c>
      <c r="C46" s="13">
        <f>C37*10/$C$5</f>
        <v>1.2884907038050796E-2</v>
      </c>
      <c r="D46" s="7" t="s">
        <v>90</v>
      </c>
      <c r="E46" s="4" t="str">
        <f>IF('Eingabe - Input'!$D$22=1,M46,R46)</f>
        <v>neben der Innenstütze*</v>
      </c>
      <c r="F46" s="13">
        <f>F37*10/$C$5</f>
        <v>1.1877392363230269E-2</v>
      </c>
      <c r="G46" s="122" t="s">
        <v>339</v>
      </c>
      <c r="H46" s="13">
        <f>H37*10/$C$5</f>
        <v>1.2884907038050796E-2</v>
      </c>
      <c r="I46" s="6" t="s">
        <v>63</v>
      </c>
      <c r="K46" s="13"/>
      <c r="L46" s="7"/>
      <c r="M46" s="4" t="str">
        <f>IF('Eingabe - Input'!$D$58=1,"am Endauflager","neben der Innenstütze*")</f>
        <v>neben der Innenstütze*</v>
      </c>
      <c r="N46" s="1" t="s">
        <v>78</v>
      </c>
      <c r="R46" s="4" t="str">
        <f>IF('Eingabe - Input'!$D$58=1,"at end support","beside the intermediate support*")</f>
        <v>beside the intermediate support*</v>
      </c>
    </row>
    <row r="47" spans="1:18" s="6" customFormat="1" ht="57" customHeight="1">
      <c r="B47" s="32"/>
      <c r="C47" s="13"/>
      <c r="D47" s="22"/>
      <c r="E47" s="52" t="str">
        <f>IF('Eingabe - Input'!$D$22=1,M47,R47)</f>
        <v>* Ansatz für Vs und TauC auf der sicheren Seite, zur genauen Berechnung ist Verlauf der Querkraft zu bestimmen (z. B. mit SandStat) - vgl. ECCS, App. A</v>
      </c>
      <c r="F47" s="29"/>
      <c r="G47" s="122" t="s">
        <v>336</v>
      </c>
      <c r="H47" s="125">
        <f>H38*10/$C$5</f>
        <v>1.0869877688409742E-2</v>
      </c>
      <c r="K47" s="13"/>
      <c r="L47" s="22"/>
      <c r="M47" s="23" t="str">
        <f>IF('Eingabe - Input'!$D$58=1,"","* Ansatz für Vs und TauC auf der sicheren Seite, zur genauen Berechnung ist Verlauf der Querkraft zu bestimmen (z. B. mit SandStat) - vgl. ECCS, App. A")</f>
        <v>* Ansatz für Vs und TauC auf der sicheren Seite, zur genauen Berechnung ist Verlauf der Querkraft zu bestimmen (z. B. mit SandStat) - vgl. ECCS, App. A</v>
      </c>
      <c r="N47" s="1"/>
      <c r="R47" s="23" t="str">
        <f>IF('Eingabe - Input'!$D$58=1,"","* attemp for Vs and TauC on the save side, for more exact determination  decide the course of the shear force Querkraft zu bestimmen (e. x. with SandStat) - compare: ECCS, App. A")</f>
        <v>* attemp for Vs and TauC on the save side, for more exact determination  decide the course of the shear force Querkraft zu bestimmen (e. x. with SandStat) - compare: ECCS, App. A</v>
      </c>
    </row>
    <row r="48" spans="1:18" s="6" customFormat="1">
      <c r="A48" s="4"/>
      <c r="B48" s="30"/>
      <c r="C48" s="3"/>
      <c r="D48" s="3"/>
      <c r="E48" s="4"/>
      <c r="F48" s="4"/>
      <c r="G48" s="19"/>
      <c r="H48" s="19"/>
    </row>
    <row r="49" spans="1:17" s="6" customFormat="1">
      <c r="A49" s="4"/>
      <c r="B49" s="30"/>
      <c r="C49" s="3"/>
      <c r="D49" s="3"/>
      <c r="E49" s="4"/>
      <c r="F49" s="4"/>
      <c r="G49" s="17"/>
      <c r="H49" s="17"/>
    </row>
    <row r="50" spans="1:17" s="6" customFormat="1">
      <c r="A50" s="4"/>
      <c r="B50" s="30"/>
      <c r="C50" s="3"/>
      <c r="D50" s="3"/>
      <c r="E50" s="4"/>
      <c r="F50" s="4"/>
      <c r="G50" s="17"/>
      <c r="H50" s="17"/>
    </row>
    <row r="51" spans="1:17" s="6" customFormat="1">
      <c r="A51" s="4"/>
      <c r="B51" s="30"/>
      <c r="C51" s="3"/>
      <c r="D51" s="3"/>
      <c r="E51" s="4"/>
      <c r="F51" s="4"/>
      <c r="G51" s="17"/>
      <c r="H51" s="17"/>
    </row>
    <row r="52" spans="1:17" s="6" customFormat="1" ht="15.95" customHeight="1">
      <c r="A52" s="4"/>
      <c r="B52" s="30"/>
      <c r="C52" s="3"/>
      <c r="D52" s="3"/>
      <c r="E52" s="4"/>
      <c r="F52" s="4"/>
      <c r="G52" s="17"/>
      <c r="H52" s="17"/>
    </row>
    <row r="53" spans="1:17" s="46" customFormat="1" ht="11.25">
      <c r="G53" s="47"/>
      <c r="H53" s="47"/>
      <c r="J53" s="48"/>
      <c r="K53" s="49"/>
      <c r="L53" s="49"/>
      <c r="O53" s="48"/>
      <c r="P53" s="49"/>
      <c r="Q53" s="49"/>
    </row>
    <row r="54" spans="1:17" s="46" customFormat="1" ht="11.25">
      <c r="C54" s="50"/>
      <c r="G54" s="47"/>
      <c r="H54" s="47"/>
      <c r="J54" s="48"/>
      <c r="K54" s="50"/>
      <c r="L54" s="51"/>
      <c r="O54" s="48"/>
      <c r="P54" s="50"/>
      <c r="Q54" s="51"/>
    </row>
    <row r="55" spans="1:17" s="46" customFormat="1" ht="11.25">
      <c r="C55" s="50"/>
      <c r="G55" s="47"/>
      <c r="H55" s="47"/>
      <c r="J55" s="48"/>
      <c r="K55" s="50"/>
      <c r="L55" s="51"/>
      <c r="O55" s="48"/>
      <c r="P55" s="50"/>
      <c r="Q55" s="51"/>
    </row>
    <row r="56" spans="1:17" s="46" customFormat="1" ht="11.25">
      <c r="C56" s="50"/>
      <c r="G56" s="47"/>
      <c r="H56" s="47"/>
      <c r="J56" s="48"/>
      <c r="K56" s="50"/>
      <c r="L56" s="51"/>
      <c r="O56" s="48"/>
      <c r="P56" s="50"/>
      <c r="Q56" s="51"/>
    </row>
    <row r="57" spans="1:17" s="46" customFormat="1" ht="11.25">
      <c r="C57" s="50"/>
      <c r="G57" s="47"/>
      <c r="H57" s="47"/>
      <c r="J57" s="51"/>
      <c r="K57" s="50"/>
      <c r="L57" s="51"/>
      <c r="O57" s="51"/>
      <c r="P57" s="50"/>
      <c r="Q57" s="51"/>
    </row>
    <row r="58" spans="1:17" s="46" customFormat="1" ht="11.25">
      <c r="C58" s="50"/>
      <c r="G58" s="47"/>
      <c r="H58" s="47"/>
      <c r="J58" s="48"/>
      <c r="K58" s="50"/>
      <c r="L58" s="51"/>
      <c r="O58" s="48"/>
      <c r="P58" s="50"/>
      <c r="Q58" s="51"/>
    </row>
    <row r="59" spans="1:17" s="46" customFormat="1" ht="11.25">
      <c r="C59" s="50"/>
      <c r="G59" s="47"/>
      <c r="H59" s="47"/>
      <c r="J59" s="48"/>
      <c r="K59" s="50"/>
      <c r="L59" s="51"/>
      <c r="O59" s="48"/>
      <c r="P59" s="50"/>
      <c r="Q59" s="51"/>
    </row>
    <row r="60" spans="1:17" s="46" customFormat="1" ht="11.25">
      <c r="C60" s="50"/>
      <c r="G60" s="47"/>
      <c r="H60" s="47"/>
      <c r="J60" s="51"/>
      <c r="K60" s="50"/>
      <c r="L60" s="51"/>
      <c r="O60" s="51"/>
      <c r="P60" s="50"/>
      <c r="Q60" s="51"/>
    </row>
    <row r="61" spans="1:17" s="46" customFormat="1" ht="11.25">
      <c r="C61" s="50"/>
      <c r="G61" s="47"/>
      <c r="H61" s="47"/>
      <c r="J61" s="51"/>
      <c r="K61" s="50"/>
      <c r="L61" s="51"/>
      <c r="O61" s="51"/>
      <c r="P61" s="50"/>
      <c r="Q61" s="51"/>
    </row>
    <row r="62" spans="1:17" s="46" customFormat="1" ht="11.25">
      <c r="C62" s="50"/>
      <c r="G62" s="47"/>
      <c r="H62" s="47"/>
      <c r="J62" s="48"/>
      <c r="K62" s="50"/>
      <c r="L62" s="51"/>
      <c r="O62" s="48"/>
      <c r="P62" s="50"/>
      <c r="Q62" s="51"/>
    </row>
    <row r="63" spans="1:17" s="46" customFormat="1" ht="11.25">
      <c r="C63" s="50"/>
      <c r="G63" s="47"/>
      <c r="H63" s="47"/>
      <c r="J63" s="48"/>
      <c r="K63" s="50"/>
      <c r="L63" s="51"/>
      <c r="O63" s="48"/>
      <c r="P63" s="50"/>
      <c r="Q63" s="51"/>
    </row>
    <row r="64" spans="1:17" s="46" customFormat="1" ht="11.25">
      <c r="C64" s="50"/>
      <c r="G64" s="47"/>
      <c r="H64" s="47"/>
    </row>
    <row r="65" spans="2:8" s="46" customFormat="1" ht="11.25">
      <c r="B65" s="48"/>
      <c r="C65" s="49"/>
      <c r="D65" s="49"/>
      <c r="G65" s="47"/>
      <c r="H65" s="47"/>
    </row>
  </sheetData>
  <sheetProtection selectLockedCells="1"/>
  <conditionalFormatting sqref="M46:M47 L47 D47 M37 R47">
    <cfRule type="cellIs" dxfId="20" priority="1" stopIfTrue="1" operator="equal">
      <formula>"neben der Innenstütze*"</formula>
    </cfRule>
  </conditionalFormatting>
  <conditionalFormatting sqref="R38:R39 M38:M39">
    <cfRule type="cellIs" dxfId="19" priority="2" stopIfTrue="1" operator="equal">
      <formula>"*"</formula>
    </cfRule>
  </conditionalFormatting>
  <conditionalFormatting sqref="R37 R46">
    <cfRule type="cellIs" dxfId="18" priority="3" stopIfTrue="1" operator="equal">
      <formula>"beside the intermediate support*"</formula>
    </cfRule>
  </conditionalFormatting>
  <printOptions horizontalCentered="1"/>
  <pageMargins left="0.78740157480314965" right="0.39370078740157483" top="0.3" bottom="0.31496062992125984" header="0.31496062992125984" footer="0.31496062992125984"/>
  <pageSetup paperSize="9" scale="62" fitToHeight="3" orientation="portrait" horizontalDpi="300" verticalDpi="300" r:id="rId1"/>
  <headerFooter alignWithMargins="0">
    <oddFooter>Seite &amp;P von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5364" r:id="rId4">
          <objectPr defaultSize="0" autoPict="0" r:id="rId5">
            <anchor moveWithCells="1">
              <from>
                <xdr:col>3</xdr:col>
                <xdr:colOff>866775</xdr:colOff>
                <xdr:row>12</xdr:row>
                <xdr:rowOff>133350</xdr:rowOff>
              </from>
              <to>
                <xdr:col>4</xdr:col>
                <xdr:colOff>1304925</xdr:colOff>
                <xdr:row>14</xdr:row>
                <xdr:rowOff>76200</xdr:rowOff>
              </to>
            </anchor>
          </objectPr>
        </oleObject>
      </mc:Choice>
      <mc:Fallback>
        <oleObject progId="Equation.3" shapeId="15364" r:id="rId4"/>
      </mc:Fallback>
    </mc:AlternateContent>
    <mc:AlternateContent xmlns:mc="http://schemas.openxmlformats.org/markup-compatibility/2006">
      <mc:Choice Requires="x14">
        <oleObject progId="Equation.3" shapeId="15365" r:id="rId6">
          <objectPr defaultSize="0" autoPict="0" r:id="rId7">
            <anchor moveWithCells="1">
              <from>
                <xdr:col>3</xdr:col>
                <xdr:colOff>742950</xdr:colOff>
                <xdr:row>4</xdr:row>
                <xdr:rowOff>133350</xdr:rowOff>
              </from>
              <to>
                <xdr:col>4</xdr:col>
                <xdr:colOff>1447800</xdr:colOff>
                <xdr:row>6</xdr:row>
                <xdr:rowOff>161925</xdr:rowOff>
              </to>
            </anchor>
          </objectPr>
        </oleObject>
      </mc:Choice>
      <mc:Fallback>
        <oleObject progId="Equation.3" shapeId="15365" r:id="rId6"/>
      </mc:Fallback>
    </mc:AlternateContent>
    <mc:AlternateContent xmlns:mc="http://schemas.openxmlformats.org/markup-compatibility/2006">
      <mc:Choice Requires="x14">
        <oleObject progId="Equation.3" shapeId="15366" r:id="rId8">
          <objectPr defaultSize="0" autoPict="0" r:id="rId9">
            <anchor moveWithCells="1">
              <from>
                <xdr:col>4</xdr:col>
                <xdr:colOff>1733550</xdr:colOff>
                <xdr:row>2</xdr:row>
                <xdr:rowOff>57150</xdr:rowOff>
              </from>
              <to>
                <xdr:col>5</xdr:col>
                <xdr:colOff>1019175</xdr:colOff>
                <xdr:row>18</xdr:row>
                <xdr:rowOff>0</xdr:rowOff>
              </to>
            </anchor>
          </objectPr>
        </oleObject>
      </mc:Choice>
      <mc:Fallback>
        <oleObject progId="Equation.3" shapeId="15366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BJ65"/>
  <sheetViews>
    <sheetView showGridLines="0" view="pageBreakPreview" topLeftCell="A15" zoomScaleNormal="112" zoomScaleSheetLayoutView="100" workbookViewId="0">
      <selection activeCell="C35" sqref="C35"/>
    </sheetView>
  </sheetViews>
  <sheetFormatPr baseColWidth="10" defaultRowHeight="12.75"/>
  <cols>
    <col min="1" max="1" width="41" style="4" customWidth="1"/>
    <col min="2" max="2" width="8.7109375" style="30" customWidth="1"/>
    <col min="3" max="3" width="14.42578125" style="3" customWidth="1"/>
    <col min="4" max="4" width="13.7109375" style="3" customWidth="1"/>
    <col min="5" max="5" width="45.7109375" style="4" customWidth="1"/>
    <col min="6" max="6" width="23.140625" style="4" customWidth="1"/>
    <col min="7" max="7" width="15.28515625" style="5" customWidth="1"/>
    <col min="8" max="8" width="14" style="5" customWidth="1"/>
    <col min="9" max="9" width="47.85546875" style="6" customWidth="1"/>
    <col min="10" max="10" width="2.85546875" style="6" customWidth="1"/>
    <col min="11" max="11" width="62.7109375" style="6" customWidth="1"/>
    <col min="12" max="12" width="19" style="6" customWidth="1"/>
    <col min="13" max="13" width="21.28515625" style="6" customWidth="1"/>
    <col min="14" max="14" width="103.28515625" style="6" customWidth="1"/>
    <col min="15" max="15" width="17.28515625" style="6" customWidth="1"/>
    <col min="16" max="16" width="63.28515625" style="6" customWidth="1"/>
    <col min="17" max="17" width="21.42578125" style="6" customWidth="1"/>
    <col min="18" max="18" width="18.28515625" style="6" customWidth="1"/>
    <col min="19" max="21" width="6.7109375" style="6" customWidth="1"/>
    <col min="22" max="22" width="5.42578125" style="6" customWidth="1"/>
    <col min="23" max="23" width="8" style="6" customWidth="1"/>
    <col min="24" max="40" width="6.7109375" style="6" customWidth="1"/>
    <col min="41" max="62" width="11.42578125" style="6"/>
    <col min="63" max="16384" width="11.42578125" style="4"/>
  </cols>
  <sheetData>
    <row r="1" spans="1:62" s="52" customFormat="1" ht="39.950000000000003" customHeight="1">
      <c r="A1" s="3"/>
      <c r="B1" s="53"/>
      <c r="C1" s="54"/>
      <c r="D1" s="54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</row>
    <row r="2" spans="1:62">
      <c r="A2" s="2" t="str">
        <f>IF('Eingabe - Input'!$D$22=1,I2,N2)</f>
        <v>Gesamtelement (Hilfswerte und Zwischenergebnisse)</v>
      </c>
      <c r="B2" s="31"/>
      <c r="D2" s="68"/>
      <c r="E2" s="2" t="str">
        <f>IF('Eingabe - Input'!$D$22=1,M2,R2)</f>
        <v>Erläuterungen/Formeln</v>
      </c>
      <c r="F2" s="2"/>
      <c r="G2" s="18" t="s">
        <v>104</v>
      </c>
      <c r="H2" s="18" t="s">
        <v>101</v>
      </c>
      <c r="I2" s="2" t="s">
        <v>99</v>
      </c>
      <c r="J2" s="2"/>
      <c r="K2" s="3"/>
      <c r="L2" s="3"/>
      <c r="M2" s="2" t="s">
        <v>1</v>
      </c>
      <c r="N2" s="2" t="s">
        <v>175</v>
      </c>
      <c r="O2" s="2"/>
      <c r="P2" s="3"/>
      <c r="Q2" s="3"/>
      <c r="R2" s="2" t="s">
        <v>176</v>
      </c>
    </row>
    <row r="3" spans="1:62" ht="15.75">
      <c r="A3" s="4" t="str">
        <f>IF('Eingabe - Input'!$D$22=1,I3,N3)</f>
        <v>Langzeitschubmodul</v>
      </c>
      <c r="B3" s="59" t="s">
        <v>220</v>
      </c>
      <c r="C3" s="3">
        <f>'Eingabe - Input'!$D$51/(1+'Eingabe - Input'!$M$53)</f>
        <v>2.3529411764705883</v>
      </c>
      <c r="D3" s="67" t="s">
        <v>90</v>
      </c>
      <c r="E3" s="2"/>
      <c r="F3" s="2"/>
      <c r="G3" s="18"/>
      <c r="H3" s="18"/>
      <c r="I3" s="57" t="s">
        <v>219</v>
      </c>
      <c r="J3" s="2"/>
      <c r="K3" s="3"/>
      <c r="L3" s="3"/>
      <c r="M3" s="2"/>
      <c r="N3" s="6" t="s">
        <v>236</v>
      </c>
      <c r="O3" s="2"/>
      <c r="P3" s="3"/>
      <c r="Q3" s="3"/>
      <c r="R3" s="2"/>
    </row>
    <row r="4" spans="1:62">
      <c r="A4" s="4" t="str">
        <f>IF('Eingabe - Input'!$D$22=1,I4,N4)</f>
        <v>Deckschichtabstand</v>
      </c>
      <c r="B4" s="30" t="s">
        <v>28</v>
      </c>
      <c r="C4" s="8">
        <f>'Eingabe - Input'!$D$33-'Eingabe - Input'!$D$44-'Eingabe - Input'!$E$45-'Eingabe - Input'!$D$41/2-'Eingabe - Input'!$E$41/2</f>
        <v>79.16</v>
      </c>
      <c r="D4" s="7" t="s">
        <v>87</v>
      </c>
      <c r="I4" s="4" t="s">
        <v>170</v>
      </c>
      <c r="N4" s="4" t="s">
        <v>82</v>
      </c>
    </row>
    <row r="5" spans="1:62" ht="15.75">
      <c r="A5" s="4" t="str">
        <f>IF('Eingabe - Input'!$D$22=1,I5,N5)</f>
        <v>Kernfläche</v>
      </c>
      <c r="B5" s="30" t="s">
        <v>29</v>
      </c>
      <c r="C5" s="8">
        <f>C4*100/10</f>
        <v>791.6</v>
      </c>
      <c r="D5" s="7" t="s">
        <v>109</v>
      </c>
      <c r="I5" s="4" t="s">
        <v>171</v>
      </c>
      <c r="N5" s="4" t="s">
        <v>172</v>
      </c>
    </row>
    <row r="6" spans="1:62" ht="15.75">
      <c r="A6" s="4" t="s">
        <v>92</v>
      </c>
      <c r="B6" s="30" t="s">
        <v>30</v>
      </c>
      <c r="C6" s="10">
        <f>('Eingabe - Input'!$D$47/10)*'Eingabe - Input'!$D$42*('Eingabe - Input'!$E$47/10)*'Eingabe - Input'!$E$42*(($C$4/10)^2)/(('Eingabe - Input'!$D$47/10)*'Eingabe - Input'!$D$42+('Eingabe - Input'!$E$47/10)*'Eingabe - Input'!$E$42)</f>
        <v>3197092.7274364149</v>
      </c>
      <c r="D6" s="7" t="s">
        <v>93</v>
      </c>
      <c r="I6" s="4"/>
      <c r="N6" s="4"/>
    </row>
    <row r="7" spans="1:62" ht="15.75">
      <c r="A7" s="6" t="s">
        <v>107</v>
      </c>
      <c r="B7" s="32" t="s">
        <v>31</v>
      </c>
      <c r="C7" s="10">
        <f>'Eingabe - Input'!$M$43*'Eingabe - Input'!$D$47/10</f>
        <v>2755.619999999999</v>
      </c>
      <c r="D7" s="7" t="s">
        <v>93</v>
      </c>
    </row>
    <row r="8" spans="1:62" customFormat="1" ht="15.75">
      <c r="A8" s="6" t="s">
        <v>106</v>
      </c>
      <c r="B8" s="32" t="s">
        <v>32</v>
      </c>
      <c r="C8" s="10">
        <f>'Eingabe - Input'!$E$43*'Eingabe - Input'!$E$47/10</f>
        <v>0</v>
      </c>
      <c r="D8" s="7" t="s">
        <v>93</v>
      </c>
      <c r="I8" s="6"/>
      <c r="J8" s="24"/>
      <c r="K8" s="24"/>
      <c r="L8" s="24"/>
      <c r="M8" s="24"/>
      <c r="N8" s="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5.75">
      <c r="A9" s="6" t="s">
        <v>152</v>
      </c>
      <c r="B9" s="32" t="s">
        <v>33</v>
      </c>
      <c r="C9" s="10">
        <f>$C$8+$C$7+$C$6</f>
        <v>3199848.347436415</v>
      </c>
      <c r="D9" s="7" t="s">
        <v>93</v>
      </c>
    </row>
    <row r="10" spans="1:62" ht="15.75">
      <c r="A10" s="6" t="s">
        <v>34</v>
      </c>
      <c r="B10" s="33" t="s">
        <v>35</v>
      </c>
      <c r="C10" s="16">
        <f>C7/C6</f>
        <v>8.6191431870341454E-4</v>
      </c>
      <c r="D10" s="7" t="s">
        <v>108</v>
      </c>
    </row>
    <row r="11" spans="1:62" ht="15.75">
      <c r="A11" s="6" t="s">
        <v>169</v>
      </c>
      <c r="B11" s="33" t="s">
        <v>36</v>
      </c>
      <c r="C11" s="16">
        <f>C8/C6</f>
        <v>0</v>
      </c>
      <c r="D11" s="7" t="s">
        <v>108</v>
      </c>
    </row>
    <row r="12" spans="1:62" ht="15.75">
      <c r="A12" s="11" t="s">
        <v>168</v>
      </c>
      <c r="B12" s="33" t="s">
        <v>37</v>
      </c>
      <c r="C12" s="16">
        <f>C11+C10</f>
        <v>8.6191431870341454E-4</v>
      </c>
      <c r="D12" s="7" t="s">
        <v>108</v>
      </c>
      <c r="I12" s="11"/>
      <c r="N12" s="11"/>
    </row>
    <row r="13" spans="1:62" ht="15.75">
      <c r="A13" s="6" t="s">
        <v>167</v>
      </c>
      <c r="B13" s="33" t="s">
        <v>38</v>
      </c>
      <c r="C13" s="69">
        <f>$C$6/(((100*'Eingabe - Input'!$M$59)^2)*($C$3/10)*$C$5)</f>
        <v>0.42911963401985731</v>
      </c>
      <c r="D13" s="7" t="s">
        <v>108</v>
      </c>
      <c r="G13" s="6"/>
    </row>
    <row r="14" spans="1:62">
      <c r="A14" s="11"/>
      <c r="B14" s="33" t="s">
        <v>105</v>
      </c>
      <c r="C14" s="16">
        <f>IF('Eingabe - Input'!$M$58=1,G14,IF('Eingabe - Input'!$M$58=2,H14,""))</f>
        <v>52.019460172816011</v>
      </c>
      <c r="D14" s="7"/>
      <c r="G14" s="16">
        <f>'Eingabe - Input'!$M$59*100*(SQRT(($C$9/($C$7+$C$8))*(($C$3/10)*$C$5/$C$6)))</f>
        <v>52.019460172816011</v>
      </c>
      <c r="H14" s="16">
        <f>SQRT((1+$C$12)/($C$12*$C$18))</f>
        <v>52.019460172816011</v>
      </c>
      <c r="I14" s="11"/>
      <c r="N14" s="11"/>
    </row>
    <row r="15" spans="1:62" ht="15.75">
      <c r="A15" s="6" t="s">
        <v>166</v>
      </c>
      <c r="B15" s="32" t="s">
        <v>39</v>
      </c>
      <c r="C15" s="16">
        <f>1-(1/(COSH(C14/2)))</f>
        <v>0.99999999998988076</v>
      </c>
      <c r="D15" s="7"/>
    </row>
    <row r="16" spans="1:62" ht="15.75">
      <c r="A16" s="6" t="s">
        <v>165</v>
      </c>
      <c r="B16" s="32" t="s">
        <v>40</v>
      </c>
      <c r="C16" s="16">
        <f>TANH(C14/2)</f>
        <v>1</v>
      </c>
      <c r="D16" s="7"/>
      <c r="G16" s="18"/>
      <c r="H16" s="18"/>
    </row>
    <row r="17" spans="1:62" ht="15.75">
      <c r="A17" s="6" t="s">
        <v>164</v>
      </c>
      <c r="B17" s="32" t="s">
        <v>41</v>
      </c>
      <c r="C17" s="16">
        <f>$C$3*$C$5/10</f>
        <v>186.25882352941179</v>
      </c>
      <c r="D17" s="7" t="s">
        <v>110</v>
      </c>
      <c r="G17" s="18"/>
      <c r="H17" s="18"/>
    </row>
    <row r="18" spans="1:62" ht="15.75">
      <c r="A18" s="6" t="s">
        <v>163</v>
      </c>
      <c r="B18" s="33" t="s">
        <v>42</v>
      </c>
      <c r="C18" s="16">
        <f>$C$6/($C$17*((100*'Eingabe - Input'!$M$59)^2))</f>
        <v>0.42911963401985731</v>
      </c>
      <c r="D18" s="7"/>
      <c r="E18" s="9"/>
      <c r="F18" s="9"/>
      <c r="G18" s="18"/>
      <c r="H18" s="18"/>
    </row>
    <row r="19" spans="1:62" ht="15.75">
      <c r="A19" s="4" t="str">
        <f>IF('Eingabe - Input'!$D$22=1,I19,N19)</f>
        <v>Hilfswerte und Zwischenergebnisse:</v>
      </c>
      <c r="B19" s="33" t="s">
        <v>153</v>
      </c>
      <c r="C19" s="15">
        <f>IF('Eingabe - Input'!$M$58=1,G19,IF('Eingabe - Input'!$M$58=2,H19,""))</f>
        <v>1.1210580473424192</v>
      </c>
      <c r="D19" s="7"/>
      <c r="E19" s="4" t="str">
        <f>IF('Eingabe - Input'!$M$58=1,"wird nur für 2-Feld-Berechnung benötigt","")</f>
        <v/>
      </c>
      <c r="G19" s="19">
        <v>0</v>
      </c>
      <c r="H19" s="19">
        <f>(5*(1+$C$12)+12*$C$18*(1-2*((COSH($C$14)-1)/($C$14*$C$14*COSH($C$14)))))/(4*(1+$C$12)+12*$C$18*(1-((TANH($C$14))/$C$14)))</f>
        <v>1.1210580473424192</v>
      </c>
      <c r="I19" s="6" t="s">
        <v>173</v>
      </c>
      <c r="N19" s="6" t="s">
        <v>174</v>
      </c>
    </row>
    <row r="20" spans="1:62" ht="15.75">
      <c r="A20" s="11"/>
      <c r="B20" s="33" t="s">
        <v>154</v>
      </c>
      <c r="C20" s="15">
        <f>IF('Eingabe - Input'!$M$58=1,G20,IF('Eingabe - Input'!$M$58=2,H20,""))</f>
        <v>0.4394709763287904</v>
      </c>
      <c r="D20" s="7"/>
      <c r="E20" s="4" t="str">
        <f>IF('Eingabe - Input'!$M$58=1,"wird nur für 2-Feld-Berechnung benötigt","")</f>
        <v/>
      </c>
      <c r="G20" s="19">
        <v>0</v>
      </c>
      <c r="H20" s="19">
        <f>1-($H$19/2)</f>
        <v>0.4394709763287904</v>
      </c>
    </row>
    <row r="21" spans="1:62" ht="15.75">
      <c r="A21" s="11"/>
      <c r="B21" s="33" t="s">
        <v>155</v>
      </c>
      <c r="C21" s="15">
        <f>IF('Eingabe - Input'!$M$58=1,G21,IF('Eingabe - Input'!$M$58=2,H21,""))</f>
        <v>5.0080033023927613E-2</v>
      </c>
      <c r="D21" s="7"/>
      <c r="E21" s="4" t="str">
        <f>IF('Eingabe - Input'!$M$58=1,"wird nur für 2-Feld-Berechnung benötigt","")</f>
        <v/>
      </c>
      <c r="G21" s="19">
        <v>0</v>
      </c>
      <c r="H21" s="19">
        <f>(1/(1+$C$12))*(($H$19/2)*(1-((TANH($C$14))/$C$14))-0.5+((COSH($C$14)-1)/($C$14*$C$14*(COSH($C$14)))))</f>
        <v>5.0080033023927613E-2</v>
      </c>
    </row>
    <row r="22" spans="1:62" ht="15.75">
      <c r="A22" s="11"/>
      <c r="B22" s="33" t="s">
        <v>156</v>
      </c>
      <c r="C22" s="15">
        <f>IF('Eingabe - Input'!$M$58=1,G22,IF('Eingabe - Input'!$M$58=2,H22,""))</f>
        <v>1.0448990647282053E-2</v>
      </c>
      <c r="D22" s="7"/>
      <c r="E22" s="4" t="str">
        <f>IF('Eingabe - Input'!$M$58=1,"wird nur für 2-Feld-Berechnung benötigt","")</f>
        <v/>
      </c>
      <c r="G22" s="19">
        <v>0</v>
      </c>
      <c r="H22" s="19">
        <f>($C$10/(1+$C$12))*((($H$19/2)*(1+((TANH($C$14))/($C$12*$C$14)))-0.5)-((COSH($C$14)-1)/($C$12*$C$14*$C$14*(COSH($C$14)))))</f>
        <v>1.0448990647282053E-2</v>
      </c>
    </row>
    <row r="23" spans="1:62" ht="15.75">
      <c r="A23" s="11"/>
      <c r="B23" s="33" t="s">
        <v>157</v>
      </c>
      <c r="C23" s="15">
        <f>IF('Eingabe - Input'!$M$58=1,G23,IF('Eingabe - Input'!$M$58=2,H23,""))</f>
        <v>0</v>
      </c>
      <c r="D23" s="7"/>
      <c r="E23" s="4" t="str">
        <f>IF('Eingabe - Input'!$M$58=1,"wird nur für 2-Feld-Berechnung benötigt","")</f>
        <v/>
      </c>
      <c r="G23" s="19">
        <v>0</v>
      </c>
      <c r="H23" s="19">
        <f>($C$11/(1+$C$12))*((($H$19/2)*(1+((TANH($C$14))/($C$12*$C$14)))-0.5)-((COSH($C$14)-1)/($C$12*$C$14*$C$14*(COSH($C$14)))))</f>
        <v>0</v>
      </c>
    </row>
    <row r="24" spans="1:62" ht="15.75">
      <c r="A24" s="11"/>
      <c r="B24" s="33" t="s">
        <v>162</v>
      </c>
      <c r="C24" s="15">
        <f>IF('Eingabe - Input'!$M$58=1,G24,IF('Eingabe - Input'!$M$58=2,H24,""))</f>
        <v>-1.3255586984010452</v>
      </c>
      <c r="D24" s="7"/>
      <c r="E24" s="4" t="str">
        <f>IF('Eingabe - Input'!$M$58=1,"wird nur für 2-Feld-Berechnung benötigt","")</f>
        <v/>
      </c>
      <c r="G24" s="19">
        <v>0</v>
      </c>
      <c r="H24" s="19">
        <f>-(3*(1+$C$12)*(1-(2*(((COSH($C$14))-1)/($C$14*$C$14*(COSH($C$14)))))))/(1+$C$12+3*$C$18*(1-((TANH($C$14))/$C$14)))</f>
        <v>-1.3255586984010452</v>
      </c>
    </row>
    <row r="25" spans="1:62" ht="15.75">
      <c r="A25" s="11"/>
      <c r="B25" s="33" t="s">
        <v>161</v>
      </c>
      <c r="C25" s="15">
        <f>IF('Eingabe - Input'!$M$58=1,G25,IF('Eingabe - Input'!$M$58=2,H25,""))</f>
        <v>0.66277934920052262</v>
      </c>
      <c r="D25" s="7"/>
      <c r="E25" s="4" t="str">
        <f>IF('Eingabe - Input'!$M$58=1,"wird nur für 2-Feld-Berechnung benötigt","")</f>
        <v/>
      </c>
      <c r="G25" s="19">
        <v>0</v>
      </c>
      <c r="H25" s="19">
        <f>-$H$24/2</f>
        <v>0.66277934920052262</v>
      </c>
    </row>
    <row r="26" spans="1:62" ht="15.75">
      <c r="A26" s="11"/>
      <c r="B26" s="33" t="s">
        <v>160</v>
      </c>
      <c r="C26" s="15">
        <f>IF('Eingabe - Input'!$M$58=1,G26,IF('Eingabe - Input'!$M$58=2,H26,""))</f>
        <v>0.65033973778412235</v>
      </c>
      <c r="D26" s="7"/>
      <c r="E26" s="4" t="str">
        <f>IF('Eingabe - Input'!$M$58=1,"wird nur für 2-Feld-Berechnung benötigt","")</f>
        <v/>
      </c>
      <c r="G26" s="19">
        <v>0</v>
      </c>
      <c r="H26" s="19">
        <f>(1/(1+$C$12))*($C$12*(((COSH($C$14)-1))/(COSH($C$14)))-(($H$24/2)*(1-((TANH($C$14))/$C$14))))</f>
        <v>0.65033973778412235</v>
      </c>
    </row>
    <row r="27" spans="1:62" ht="15.75">
      <c r="A27" s="11"/>
      <c r="B27" s="33" t="s">
        <v>159</v>
      </c>
      <c r="C27" s="15">
        <f>IF('Eingabe - Input'!$M$58=1,G27,IF('Eingabe - Input'!$M$58=2,H27,""))</f>
        <v>1.2439611416400308E-2</v>
      </c>
      <c r="D27" s="7"/>
      <c r="E27" s="4" t="str">
        <f>IF('Eingabe - Input'!$M$58=1,"wird nur für 2-Feld-Berechnung benötigt","")</f>
        <v/>
      </c>
      <c r="G27" s="19">
        <v>0</v>
      </c>
      <c r="H27" s="19">
        <f>($C$10/(1+$C$12))*(((-(COSH($C$14))-1)/(COSH($C$14)))-($H$24/2)*(1+((TANH($C$14))/($C$12*$C$14))))</f>
        <v>1.2439611416400308E-2</v>
      </c>
    </row>
    <row r="28" spans="1:62" ht="15.75">
      <c r="A28" s="11"/>
      <c r="B28" s="33" t="s">
        <v>158</v>
      </c>
      <c r="C28" s="15">
        <f>IF('Eingabe - Input'!$M$58=1,G28,IF('Eingabe - Input'!$M$58=2,H28,""))</f>
        <v>0</v>
      </c>
      <c r="D28" s="7"/>
      <c r="E28" s="4" t="str">
        <f>IF('Eingabe - Input'!$M$58=1,"wird nur für 2-Feld-Berechnung benötigt","")</f>
        <v/>
      </c>
      <c r="G28" s="19">
        <v>0</v>
      </c>
      <c r="H28" s="19">
        <f>($C$11/(1+$C$12))*(((-(COSH($C$14))-1)/(COSH($C$14)))-($H$24/2)*(1+((TANH($C$14))/($C$12*$C$14))))</f>
        <v>0</v>
      </c>
    </row>
    <row r="29" spans="1:62" ht="70.7" customHeight="1">
      <c r="B29" s="32"/>
      <c r="C29" s="15"/>
      <c r="D29" s="7"/>
      <c r="G29" s="19"/>
      <c r="H29" s="19"/>
    </row>
    <row r="30" spans="1:62" ht="84" customHeight="1">
      <c r="A30" s="34"/>
      <c r="B30" s="35"/>
      <c r="C30" s="36"/>
      <c r="D30" s="37"/>
      <c r="E30" s="34"/>
      <c r="F30" s="34"/>
      <c r="G30" s="17"/>
      <c r="H30" s="17"/>
    </row>
    <row r="31" spans="1:62" s="44" customFormat="1" ht="12.95" customHeight="1">
      <c r="A31" s="38" t="str">
        <f>IF('Eingabe - Input'!$D$22=1,I31,N31)</f>
        <v>Schnittgrößenbezeichnungen am Querschnitt</v>
      </c>
      <c r="B31" s="39"/>
      <c r="C31" s="40"/>
      <c r="D31" s="41"/>
      <c r="E31" s="38" t="str">
        <f>IF('Eingabe - Input'!$D$22=1,M31,R31)</f>
        <v>Spannungsverteilung</v>
      </c>
      <c r="F31" s="38"/>
      <c r="G31" s="42"/>
      <c r="H31" s="42"/>
      <c r="I31" s="43" t="s">
        <v>111</v>
      </c>
      <c r="J31" s="43"/>
      <c r="K31" s="43"/>
      <c r="L31" s="43"/>
      <c r="M31" s="43" t="s">
        <v>112</v>
      </c>
      <c r="N31" s="43" t="s">
        <v>113</v>
      </c>
      <c r="O31" s="43"/>
      <c r="P31" s="43"/>
      <c r="Q31" s="43"/>
      <c r="R31" s="43" t="s">
        <v>114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</row>
    <row r="32" spans="1:62" s="44" customFormat="1" ht="39" customHeight="1">
      <c r="A32" s="38"/>
      <c r="B32" s="39"/>
      <c r="C32" s="40"/>
      <c r="D32" s="41"/>
      <c r="E32" s="38"/>
      <c r="F32" s="38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</row>
    <row r="33" spans="1:18">
      <c r="A33" s="2" t="str">
        <f>IF('Eingabe - Input'!$D$22=1,I33,N33)</f>
        <v>Schnittgrößen für Gleichstreckenlast</v>
      </c>
      <c r="B33" s="31" t="s">
        <v>204</v>
      </c>
      <c r="C33" s="20">
        <f>'Eingabe - Input'!M61</f>
        <v>1.3</v>
      </c>
      <c r="D33" s="74" t="s">
        <v>97</v>
      </c>
      <c r="F33" s="18" t="s">
        <v>104</v>
      </c>
      <c r="H33" s="18" t="s">
        <v>101</v>
      </c>
      <c r="I33" s="2" t="s">
        <v>43</v>
      </c>
      <c r="J33" s="2"/>
      <c r="K33" s="20"/>
      <c r="L33" s="12"/>
      <c r="M33" s="7"/>
      <c r="N33" s="1" t="s">
        <v>81</v>
      </c>
      <c r="O33" s="25"/>
      <c r="P33" s="25"/>
      <c r="Q33" s="25"/>
    </row>
    <row r="34" spans="1:18" s="6" customFormat="1" ht="15.75">
      <c r="A34" s="4" t="str">
        <f>IF('Eingabe - Input'!$D$22=1,I34,N34)</f>
        <v>Sandwichmoment</v>
      </c>
      <c r="B34" s="30" t="s">
        <v>44</v>
      </c>
      <c r="C34" s="13">
        <f>IF('Eingabe - Input'!$M$58=1,F34,IF('Eingabe - Input'!$M$58=2,H34,""))</f>
        <v>-0.26041617172442361</v>
      </c>
      <c r="D34" s="7" t="s">
        <v>100</v>
      </c>
      <c r="E34" s="4" t="str">
        <f>IF('Eingabe - Input'!$D$22=1,M34,R34)</f>
        <v>über Innenstütze</v>
      </c>
      <c r="F34" s="19">
        <f>$C$33*'Eingabe - Input'!$M$59^2/8*(1/(1+$C$12))*(1-(8*$C$15/($C$14^2)))</f>
        <v>0.6475202546521176</v>
      </c>
      <c r="H34" s="19">
        <f>-$H$21*$C$33*'Eingabe - Input'!$M$59*'Eingabe - Input'!$M$59</f>
        <v>-0.26041617172442361</v>
      </c>
      <c r="I34" s="4" t="s">
        <v>46</v>
      </c>
      <c r="J34" s="4"/>
      <c r="K34" s="13"/>
      <c r="L34" s="7"/>
      <c r="M34" s="4" t="str">
        <f>IF('Eingabe - Input'!$D$58=1,"in Feldmitte","über Innenstütze")</f>
        <v>über Innenstütze</v>
      </c>
      <c r="N34" s="1" t="s">
        <v>66</v>
      </c>
      <c r="O34" s="25"/>
      <c r="P34" s="25"/>
      <c r="Q34" s="25"/>
      <c r="R34" s="4" t="str">
        <f>IF('Eingabe - Input'!$D$58=1,"at midspan","at intermediate support")</f>
        <v>at intermediate support</v>
      </c>
    </row>
    <row r="35" spans="1:18" s="6" customFormat="1" ht="15.75">
      <c r="A35" s="4" t="str">
        <f>IF('Eingabe - Input'!$D$22=1,I35,N35)</f>
        <v>Deckschichtmoment</v>
      </c>
      <c r="B35" s="30" t="s">
        <v>45</v>
      </c>
      <c r="C35" s="13">
        <f>IF('Eingabe - Input'!$M$58=1,F35,IF('Eingabe - Input'!$M$58=2,H35,""))</f>
        <v>-5.4334751365866678E-2</v>
      </c>
      <c r="D35" s="7" t="s">
        <v>100</v>
      </c>
      <c r="E35" s="4" t="str">
        <f>IF('Eingabe - Input'!$D$22=1,M35,R35)</f>
        <v>über Innenstütze</v>
      </c>
      <c r="F35" s="19">
        <f>$C$33*'Eingabe - Input'!$M$59^2/8*($C$10/(1+$C$12))*(1+(8*$C$15/($C$12*$C$14^2)))</f>
        <v>2.4797453478824019E-3</v>
      </c>
      <c r="H35" s="19">
        <f>-$H$22*$C$33*'Eingabe - Input'!$M$59*'Eingabe - Input'!$M$59</f>
        <v>-5.4334751365866678E-2</v>
      </c>
      <c r="I35" s="4" t="s">
        <v>47</v>
      </c>
      <c r="J35" s="4"/>
      <c r="K35" s="13"/>
      <c r="L35" s="7"/>
      <c r="M35" s="4" t="str">
        <f>IF('Eingabe - Input'!$D$58=1,"in Feldmitte","über Innenstütze")</f>
        <v>über Innenstütze</v>
      </c>
      <c r="N35" s="1" t="s">
        <v>64</v>
      </c>
      <c r="O35" s="25"/>
      <c r="P35" s="25"/>
      <c r="Q35" s="25"/>
      <c r="R35" s="4" t="str">
        <f>IF('Eingabe - Input'!$D$58=1,"at midspan","at intermediate support")</f>
        <v>at intermediate support</v>
      </c>
    </row>
    <row r="36" spans="1:18" s="6" customFormat="1" ht="15.75">
      <c r="A36" s="4" t="str">
        <f>IF('Eingabe - Input'!$D$22=1,I36,N36)</f>
        <v>Deckschichtmoment</v>
      </c>
      <c r="B36" s="30" t="s">
        <v>79</v>
      </c>
      <c r="C36" s="13">
        <f>IF('Eingabe - Input'!$M$58=1,F36,IF('Eingabe - Input'!$M$58=2,H36,""))</f>
        <v>0</v>
      </c>
      <c r="D36" s="7" t="s">
        <v>100</v>
      </c>
      <c r="E36" s="4" t="str">
        <f>IF('Eingabe - Input'!$D$22=1,M36,R36)</f>
        <v>über Innenstütze</v>
      </c>
      <c r="F36" s="19">
        <f>$C$33*'Eingabe - Input'!$M$59^2/8*($C$11/(1+$C$12))*(1+(8*$C$15/($C$12*$C$14^2)))</f>
        <v>0</v>
      </c>
      <c r="H36" s="19">
        <f>-$H$23*$C$33*'Eingabe - Input'!$M$59*'Eingabe - Input'!$M$59</f>
        <v>0</v>
      </c>
      <c r="I36" s="4" t="s">
        <v>47</v>
      </c>
      <c r="J36" s="4"/>
      <c r="K36" s="13"/>
      <c r="L36" s="7"/>
      <c r="M36" s="4" t="str">
        <f>IF('Eingabe - Input'!$D$58=1,"in Feldmitte","über Innenstütze")</f>
        <v>über Innenstütze</v>
      </c>
      <c r="N36" s="1" t="s">
        <v>65</v>
      </c>
      <c r="O36" s="15"/>
      <c r="P36" s="15"/>
      <c r="Q36" s="15"/>
      <c r="R36" s="4" t="str">
        <f>IF('Eingabe - Input'!$D$58=1,"at midspan","at intermediate support")</f>
        <v>at intermediate support</v>
      </c>
    </row>
    <row r="37" spans="1:18" s="6" customFormat="1" ht="15.75">
      <c r="A37" s="4" t="str">
        <f>IF('Eingabe - Input'!$D$22=1,I37,N37)</f>
        <v>Querkraft in der Kernschicht</v>
      </c>
      <c r="B37" s="30" t="s">
        <v>49</v>
      </c>
      <c r="C37" s="13">
        <f>IF('Eingabe - Input'!$M$58=1,F37,IF('Eingabe - Input'!$M$58=2,IF(ABS(H37)&lt;ABS(H38), H38,H37),""))</f>
        <v>1.4001367303417189</v>
      </c>
      <c r="D37" s="7" t="s">
        <v>102</v>
      </c>
      <c r="E37" s="4" t="str">
        <f>IF('Eingabe - Input'!$D$22=1,M37,R37)</f>
        <v>neben der Innenstütze*</v>
      </c>
      <c r="F37" s="19">
        <f>$C$33*'Eingabe - Input'!$M$59/2*(1/(1+$C$12))*(1-(2*$C$16/$C$14))</f>
        <v>1.2489422235190082</v>
      </c>
      <c r="G37" s="123" t="s">
        <v>338</v>
      </c>
      <c r="H37" s="19">
        <f>H41/2*(1/(1+$C$12))*(1-(2*$C$16/$C$14))</f>
        <v>1.4001367303417189</v>
      </c>
      <c r="I37" s="4" t="s">
        <v>48</v>
      </c>
      <c r="J37" s="4"/>
      <c r="K37" s="13"/>
      <c r="L37" s="7"/>
      <c r="M37" s="4" t="str">
        <f>IF('Eingabe - Input'!$D$58=1,"am Endauflager","neben der Innenstütze*")</f>
        <v>neben der Innenstütze*</v>
      </c>
      <c r="N37" s="28" t="s">
        <v>67</v>
      </c>
      <c r="O37" s="15"/>
      <c r="P37" s="15"/>
      <c r="Q37" s="15"/>
      <c r="R37" s="4" t="str">
        <f>IF('Eingabe - Input'!$D$58=1,"at end support","beside the intermediate support*")</f>
        <v>beside the intermediate support*</v>
      </c>
    </row>
    <row r="38" spans="1:18" s="6" customFormat="1" ht="15.75">
      <c r="A38" s="4" t="str">
        <f>IF('Eingabe - Input'!$D$22=1,I38,N38)</f>
        <v>Querkraft in Deckschicht</v>
      </c>
      <c r="B38" s="30" t="s">
        <v>50</v>
      </c>
      <c r="C38" s="13" t="str">
        <f>IF('Eingabe - Input'!$M$58=1,F38,IF('Eingabe - Input'!$M$58=2,"",""))</f>
        <v/>
      </c>
      <c r="D38" s="7" t="s">
        <v>102</v>
      </c>
      <c r="E38" s="4" t="str">
        <f>IF('Eingabe - Input'!$D$22=1,M38,R38)</f>
        <v>*</v>
      </c>
      <c r="F38" s="19">
        <f>$C$33*'Eingabe - Input'!$M$59/2*($C$10/(1+$C$12))*(1+(2*$C$16/($C$12*$C$14)))</f>
        <v>5.1057776480991725E-2</v>
      </c>
      <c r="G38" s="123" t="s">
        <v>337</v>
      </c>
      <c r="H38" s="19">
        <f>H40*(1/(1+$C$12))*(1-(2*$C$16/$C$14))</f>
        <v>1.0977477166962979</v>
      </c>
      <c r="I38" s="4" t="s">
        <v>54</v>
      </c>
      <c r="J38" s="4"/>
      <c r="K38" s="13"/>
      <c r="L38" s="7"/>
      <c r="M38" s="4" t="str">
        <f>IF('Eingabe - Input'!$D$58=1,"am Endauflager","*")</f>
        <v>*</v>
      </c>
      <c r="N38" s="28" t="s">
        <v>68</v>
      </c>
      <c r="O38" s="15"/>
      <c r="P38" s="15"/>
      <c r="Q38" s="15"/>
      <c r="R38" s="4" t="str">
        <f>IF('Eingabe - Input'!$D$58=1,"at end support","*")</f>
        <v>*</v>
      </c>
    </row>
    <row r="39" spans="1:18" s="6" customFormat="1" ht="15.75">
      <c r="A39" s="4" t="str">
        <f>IF('Eingabe - Input'!$D$22=1,I39,N39)</f>
        <v>Querkraft in Deckschicht</v>
      </c>
      <c r="B39" s="30" t="s">
        <v>51</v>
      </c>
      <c r="C39" s="13" t="str">
        <f>IF('Eingabe - Input'!$M$58=1,F39,IF('Eingabe - Input'!$M$58=2,"",""))</f>
        <v/>
      </c>
      <c r="D39" s="7" t="s">
        <v>102</v>
      </c>
      <c r="E39" s="4" t="str">
        <f>IF('Eingabe - Input'!$D$22=1,M39,R39)</f>
        <v>*</v>
      </c>
      <c r="F39" s="19">
        <f>$C$33*'Eingabe - Input'!$M$59/2*($C$11/(1+$C$12))*(1+(2*$C$16/($C$12*$C$14)))</f>
        <v>0</v>
      </c>
      <c r="G39" s="5"/>
      <c r="H39" s="19"/>
      <c r="I39" s="4" t="s">
        <v>54</v>
      </c>
      <c r="J39" s="4"/>
      <c r="K39" s="13"/>
      <c r="L39" s="7"/>
      <c r="M39" s="4" t="str">
        <f>IF('Eingabe - Input'!$D$58=1,"am Endauflager","*")</f>
        <v>*</v>
      </c>
      <c r="N39" s="28" t="s">
        <v>69</v>
      </c>
      <c r="O39" s="15"/>
      <c r="P39" s="15"/>
      <c r="Q39" s="15"/>
      <c r="R39" s="4" t="str">
        <f>IF('Eingabe - Input'!$D$58=1,"at end support","*")</f>
        <v>*</v>
      </c>
    </row>
    <row r="40" spans="1:18" s="6" customFormat="1" ht="15.75">
      <c r="A40" s="4" t="str">
        <f>IF('Eingabe - Input'!$D$22=1,I40,N40)</f>
        <v>Endauflagerkraft</v>
      </c>
      <c r="B40" s="30" t="s">
        <v>52</v>
      </c>
      <c r="C40" s="13">
        <f>IF('Eingabe - Input'!$M$58=1,F40,IF('Eingabe - Input'!$M$58=2,H40,""))</f>
        <v>1.142624538454855</v>
      </c>
      <c r="D40" s="7" t="s">
        <v>102</v>
      </c>
      <c r="E40" s="4" t="str">
        <f>IF('Eingabe - Input'!$D$22=1,M40,R40)</f>
        <v>-</v>
      </c>
      <c r="F40" s="19">
        <f>F39+F38+F37</f>
        <v>1.2999999999999998</v>
      </c>
      <c r="G40" s="5"/>
      <c r="H40" s="19">
        <f>$H$20*$C$33*'Eingabe - Input'!$M$59</f>
        <v>1.142624538454855</v>
      </c>
      <c r="I40" s="4" t="s">
        <v>55</v>
      </c>
      <c r="J40" s="4"/>
      <c r="K40" s="13"/>
      <c r="L40" s="7"/>
      <c r="M40" s="4" t="s">
        <v>108</v>
      </c>
      <c r="N40" s="28" t="s">
        <v>70</v>
      </c>
      <c r="Q40" s="15"/>
      <c r="R40" s="4" t="s">
        <v>108</v>
      </c>
    </row>
    <row r="41" spans="1:18" s="6" customFormat="1" ht="15.75">
      <c r="A41" s="4" t="str">
        <f>IF('Eingabe - Input'!$D$22=1,I41,N41)</f>
        <v>Zwischenauflagerkraft</v>
      </c>
      <c r="B41" s="32" t="s">
        <v>53</v>
      </c>
      <c r="C41" s="13">
        <f>IF('Eingabe - Input'!$M$58=1,"",IF('Eingabe - Input'!$M$58=2,H41,""))</f>
        <v>2.9147509230902902</v>
      </c>
      <c r="D41" s="7" t="s">
        <v>102</v>
      </c>
      <c r="E41" s="4" t="str">
        <f>IF('Eingabe - Input'!$D$22=1,M41,R41)</f>
        <v>-</v>
      </c>
      <c r="F41" s="19"/>
      <c r="G41" s="5"/>
      <c r="H41" s="19">
        <f>$H$19*$C$33*'Eingabe - Input'!$M$59</f>
        <v>2.9147509230902902</v>
      </c>
      <c r="I41" s="6" t="s">
        <v>56</v>
      </c>
      <c r="K41" s="13"/>
      <c r="L41" s="7"/>
      <c r="M41" s="4" t="s">
        <v>108</v>
      </c>
      <c r="N41" s="1" t="s">
        <v>71</v>
      </c>
      <c r="R41" s="4" t="s">
        <v>108</v>
      </c>
    </row>
    <row r="42" spans="1:18" s="6" customFormat="1" ht="15.75">
      <c r="A42" s="4" t="str">
        <f>IF('Eingabe - Input'!$D$22=1,I42,N42)</f>
        <v>Normalspannungen oberes Deckblech außen</v>
      </c>
      <c r="B42" s="33" t="s">
        <v>58</v>
      </c>
      <c r="C42" s="14">
        <f>IF('Eingabe - Input'!$M$43=0,(-C34*10000/($C$4*'Eingabe - Input'!$D$42)),(-C34*10000/($C$4*'Eingabe - Input'!$D$42))-(C35*100*'Eingabe - Input'!$D$44/('Eingabe - Input'!$M$43)))</f>
        <v>14.362332596452429</v>
      </c>
      <c r="D42" s="7" t="s">
        <v>90</v>
      </c>
      <c r="E42" s="4" t="str">
        <f>IF('Eingabe - Input'!$D$22=1,M42,R42)</f>
        <v>über Innenstütze</v>
      </c>
      <c r="F42" s="14">
        <f>IF('Eingabe - Input'!$M$43=0,(-F34*10000/($C$4*'Eingabe - Input'!$D$42)),(-F34*10000/($C$4*'Eingabe - Input'!$D$42))-(F35*100*'Eingabe - Input'!$D$44/('Eingabe - Input'!$M$43)))</f>
        <v>-15.497900682690094</v>
      </c>
      <c r="G42" s="5"/>
      <c r="H42" s="14">
        <f>IF('Eingabe - Input'!$M$43=0,(-H34*10000/($C$4*'Eingabe - Input'!$D$42)),(-H34*10000/($C$4*'Eingabe - Input'!$D$42))-(H35*100*'Eingabe - Input'!$D$44/('Eingabe - Input'!$M$43)))</f>
        <v>14.362332596452429</v>
      </c>
      <c r="I42" s="6" t="s">
        <v>72</v>
      </c>
      <c r="K42" s="14"/>
      <c r="L42" s="7"/>
      <c r="M42" s="4" t="str">
        <f>IF('Eingabe - Input'!$D$58=1,"in Feldmitte","über Innenstütze")</f>
        <v>über Innenstütze</v>
      </c>
      <c r="N42" s="1" t="s">
        <v>74</v>
      </c>
      <c r="R42" s="4" t="str">
        <f>IF('Eingabe - Input'!$D$58=1,"at midspan","at intermediate support")</f>
        <v>at intermediate support</v>
      </c>
    </row>
    <row r="43" spans="1:18" s="6" customFormat="1" ht="15.75">
      <c r="A43" s="4" t="str">
        <f>IF('Eingabe - Input'!$D$22=1,I43,N43)</f>
        <v>Normalspannungen oberes Deckblech innen</v>
      </c>
      <c r="B43" s="33" t="s">
        <v>59</v>
      </c>
      <c r="C43" s="14">
        <f>IF('Eingabe - Input'!$M$43=0,(-C34*10000/($C$4*'Eingabe - Input'!$D$42)),(-C34*10000/($C$4*'Eingabe - Input'!$D$42))+(C35*100*'Eingabe - Input'!$D$45/('Eingabe - Input'!$M$43)))</f>
        <v>-2.2006155412908113</v>
      </c>
      <c r="D43" s="7" t="s">
        <v>90</v>
      </c>
      <c r="E43" s="4" t="str">
        <f>IF('Eingabe - Input'!$D$22=1,M43,R43)</f>
        <v>über Innenstütze</v>
      </c>
      <c r="F43" s="14">
        <f>IF('Eingabe - Input'!$M$43=0,(-F34*10000/($C$4*'Eingabe - Input'!$D$42)),(-F34*10000/($C$4*'Eingabe - Input'!$D$42))+(F35*100*'Eingabe - Input'!$D$45/('Eingabe - Input'!$M$43)))</f>
        <v>-14.741995988929265</v>
      </c>
      <c r="G43" s="5"/>
      <c r="H43" s="14">
        <f>IF('Eingabe - Input'!$M$43=0,(-H34*10000/($C$4*'Eingabe - Input'!$D$42)),(-H34*10000/($C$4*'Eingabe - Input'!$D$42))+(H35*100*'Eingabe - Input'!$D$45/('Eingabe - Input'!$M$43)))</f>
        <v>-2.2006155412908113</v>
      </c>
      <c r="I43" s="6" t="s">
        <v>73</v>
      </c>
      <c r="K43" s="14"/>
      <c r="L43" s="7"/>
      <c r="M43" s="4" t="str">
        <f>IF('Eingabe - Input'!$D$58=1,"in Feldmitte","über Innenstütze")</f>
        <v>über Innenstütze</v>
      </c>
      <c r="N43" s="1" t="s">
        <v>75</v>
      </c>
      <c r="R43" s="4" t="str">
        <f>IF('Eingabe - Input'!$D$58=1,"at midspan","at intermediate support")</f>
        <v>at intermediate support</v>
      </c>
    </row>
    <row r="44" spans="1:18" s="6" customFormat="1" ht="15.75">
      <c r="A44" s="4" t="str">
        <f>IF('Eingabe - Input'!$D$22=1,I44,N44)</f>
        <v>Normalspannungen unteres Deckblech innen</v>
      </c>
      <c r="B44" s="33" t="s">
        <v>60</v>
      </c>
      <c r="C44" s="14">
        <f>IF('Eingabe - Input'!$E$43=0,(C34*10000/($C$4*'Eingabe - Input'!$E$42)),(C34*10000/($C$4*'Eingabe - Input'!$E$42))-(C36*100*'Eingabe - Input'!$E$44/('Eingabe - Input'!$E$43)))</f>
        <v>-7.4597380122930117</v>
      </c>
      <c r="D44" s="7" t="s">
        <v>90</v>
      </c>
      <c r="E44" s="4" t="str">
        <f>IF('Eingabe - Input'!$D$22=1,M44,R44)</f>
        <v>über Innenstütze</v>
      </c>
      <c r="F44" s="14">
        <f>IF('Eingabe - Input'!$E$43=0,(F34*10000/($C$4*'Eingabe - Input'!$E$42)),(F34*10000/($C$4*'Eingabe - Input'!$E$42))-(F36*100*'Eingabe - Input'!$E$44/('Eingabe - Input'!$E$43)))</f>
        <v>18.548508049145209</v>
      </c>
      <c r="G44" s="5"/>
      <c r="H44" s="14">
        <f>IF('Eingabe - Input'!$E$43=0,(H34*10000/($C$4*'Eingabe - Input'!$E$42)),(H34*10000/($C$4*'Eingabe - Input'!$E$42))-(H36*100*'Eingabe - Input'!$E$44/('Eingabe - Input'!$E$43)))</f>
        <v>-7.4597380122930117</v>
      </c>
      <c r="I44" s="6" t="s">
        <v>146</v>
      </c>
      <c r="K44" s="14"/>
      <c r="L44" s="7"/>
      <c r="M44" s="4" t="str">
        <f>IF('Eingabe - Input'!$D$58=1,"in Feldmitte","über Innenstütze")</f>
        <v>über Innenstütze</v>
      </c>
      <c r="N44" s="1" t="s">
        <v>76</v>
      </c>
      <c r="R44" s="4" t="str">
        <f>IF('Eingabe - Input'!$D$58=1,"at midspan","at intermediate support")</f>
        <v>at intermediate support</v>
      </c>
    </row>
    <row r="45" spans="1:18" s="6" customFormat="1" ht="15.75">
      <c r="A45" s="4" t="str">
        <f>IF('Eingabe - Input'!$D$22=1,I45,N45)</f>
        <v>Normalspannungen unteres Deckblech außen</v>
      </c>
      <c r="B45" s="33" t="s">
        <v>61</v>
      </c>
      <c r="C45" s="14">
        <f>IF('Eingabe - Input'!$E$43=0,(C34*10000/($C$4*'Eingabe - Input'!$E$42)),(C34*10000/($C$4*'Eingabe - Input'!$E$42))+(C36*100*'Eingabe - Input'!$E$45/('Eingabe - Input'!$E$43)))</f>
        <v>-7.4597380122930117</v>
      </c>
      <c r="D45" s="7" t="s">
        <v>90</v>
      </c>
      <c r="E45" s="4" t="str">
        <f>IF('Eingabe - Input'!$D$22=1,M45,R45)</f>
        <v>über Innenstütze</v>
      </c>
      <c r="F45" s="14">
        <f>IF('Eingabe - Input'!$E$43=0,(F34*10000/($C$4*'Eingabe - Input'!$E$42)),(F34*10000/($C$4*'Eingabe - Input'!$E$42))+(F36*100*'Eingabe - Input'!$E$45/('Eingabe - Input'!$E$43)))</f>
        <v>18.548508049145209</v>
      </c>
      <c r="G45" s="5"/>
      <c r="H45" s="14">
        <f>IF('Eingabe - Input'!$E$43=0,(H34*10000/($C$4*'Eingabe - Input'!$E$42)),(H34*10000/($C$4*'Eingabe - Input'!$E$42))+(H36*100*'Eingabe - Input'!$E$45/('Eingabe - Input'!$E$43)))</f>
        <v>-7.4597380122930117</v>
      </c>
      <c r="I45" s="6" t="s">
        <v>147</v>
      </c>
      <c r="K45" s="14"/>
      <c r="L45" s="7"/>
      <c r="M45" s="4" t="str">
        <f>IF('Eingabe - Input'!$D$58=1,"in Feldmitte","über Innenstütze")</f>
        <v>über Innenstütze</v>
      </c>
      <c r="N45" s="1" t="s">
        <v>77</v>
      </c>
      <c r="R45" s="4" t="str">
        <f>IF('Eingabe - Input'!$D$58=1,"at midspan","at intermediate support")</f>
        <v>at intermediate support</v>
      </c>
    </row>
    <row r="46" spans="1:18" s="6" customFormat="1" ht="15.75">
      <c r="A46" s="4" t="str">
        <f>IF('Eingabe - Input'!$D$22=1,I46,N46)</f>
        <v>Schubspannung im Kern</v>
      </c>
      <c r="B46" s="33" t="s">
        <v>62</v>
      </c>
      <c r="C46" s="13">
        <f>C37*10/$C$5</f>
        <v>1.7687427113968153E-2</v>
      </c>
      <c r="D46" s="7" t="s">
        <v>90</v>
      </c>
      <c r="E46" s="4" t="str">
        <f>IF('Eingabe - Input'!$D$22=1,M46,R46)</f>
        <v>neben der Innenstütze*</v>
      </c>
      <c r="F46" s="13">
        <f>F37*10/$C$5</f>
        <v>1.5777440923686308E-2</v>
      </c>
      <c r="G46" s="122" t="s">
        <v>339</v>
      </c>
      <c r="H46" s="13">
        <f>H37*10/$C$5</f>
        <v>1.7687427113968153E-2</v>
      </c>
      <c r="I46" s="6" t="s">
        <v>63</v>
      </c>
      <c r="K46" s="13"/>
      <c r="L46" s="7"/>
      <c r="M46" s="4" t="str">
        <f>IF('Eingabe - Input'!$D$58=1,"am Endauflager","neben der Innenstütze*")</f>
        <v>neben der Innenstütze*</v>
      </c>
      <c r="N46" s="1" t="s">
        <v>78</v>
      </c>
      <c r="R46" s="4" t="str">
        <f>IF('Eingabe - Input'!$D$58=1,"at end support","beside the intermediate support*")</f>
        <v>beside the intermediate support*</v>
      </c>
    </row>
    <row r="47" spans="1:18" s="6" customFormat="1" ht="57" customHeight="1">
      <c r="B47" s="32"/>
      <c r="C47" s="13"/>
      <c r="D47" s="22"/>
      <c r="E47" s="52" t="str">
        <f>IF('Eingabe - Input'!$D$22=1,M47,R47)</f>
        <v>* Ansatz für Vs und TauC auf der sicheren Seite, zur genauen Berechnung ist Verlauf der Querkraft zu bestimmen (z. B. mit SandStat) - vgl. ECCS, App. A</v>
      </c>
      <c r="F47" s="29"/>
      <c r="G47" s="122" t="s">
        <v>336</v>
      </c>
      <c r="H47" s="125">
        <f>H38*10/$C$5</f>
        <v>1.386745473340447E-2</v>
      </c>
      <c r="K47" s="13"/>
      <c r="L47" s="22"/>
      <c r="M47" s="23" t="str">
        <f>IF('Eingabe - Input'!$D$58=1,"","* Ansatz für Vs und TauC auf der sicheren Seite, zur genauen Berechnung ist Verlauf der Querkraft zu bestimmen (z. B. mit SandStat) - vgl. ECCS, App. A")</f>
        <v>* Ansatz für Vs und TauC auf der sicheren Seite, zur genauen Berechnung ist Verlauf der Querkraft zu bestimmen (z. B. mit SandStat) - vgl. ECCS, App. A</v>
      </c>
      <c r="N47" s="1"/>
      <c r="R47" s="23" t="str">
        <f>IF('Eingabe - Input'!$D$58=1,"","* attemp for Vs and TauC on the save side, for more exact determination  decide the course of the shear force Querkraft zu bestimmen (e. x. with SandStat) - compare: ECCS, App. A")</f>
        <v>* attemp for Vs and TauC on the save side, for more exact determination  decide the course of the shear force Querkraft zu bestimmen (e. x. with SandStat) - compare: ECCS, App. A</v>
      </c>
    </row>
    <row r="48" spans="1:18" s="6" customFormat="1">
      <c r="A48" s="4"/>
      <c r="B48" s="30"/>
      <c r="C48" s="3"/>
      <c r="D48" s="3"/>
      <c r="E48" s="4"/>
      <c r="F48" s="4"/>
      <c r="G48" s="19"/>
      <c r="H48" s="19"/>
    </row>
    <row r="49" spans="1:17" s="6" customFormat="1">
      <c r="A49" s="4"/>
      <c r="B49" s="30"/>
      <c r="C49" s="3"/>
      <c r="D49" s="3"/>
      <c r="E49" s="4"/>
      <c r="F49" s="4"/>
      <c r="G49" s="17"/>
      <c r="H49" s="17"/>
    </row>
    <row r="50" spans="1:17" s="6" customFormat="1">
      <c r="A50" s="4"/>
      <c r="B50" s="30"/>
      <c r="C50" s="3"/>
      <c r="D50" s="3"/>
      <c r="E50" s="4"/>
      <c r="F50" s="4"/>
      <c r="G50" s="17"/>
      <c r="H50" s="17"/>
    </row>
    <row r="51" spans="1:17" s="6" customFormat="1">
      <c r="A51" s="4"/>
      <c r="B51" s="30"/>
      <c r="C51" s="3"/>
      <c r="D51" s="3"/>
      <c r="E51" s="4"/>
      <c r="F51" s="4"/>
      <c r="G51" s="17"/>
      <c r="H51" s="17"/>
    </row>
    <row r="52" spans="1:17" s="6" customFormat="1" ht="15.95" hidden="1" customHeight="1">
      <c r="A52" s="4"/>
      <c r="B52" s="30"/>
      <c r="C52" s="3"/>
      <c r="D52" s="3"/>
      <c r="E52" s="4"/>
      <c r="F52" s="4"/>
      <c r="G52" s="17"/>
      <c r="H52" s="17"/>
    </row>
    <row r="53" spans="1:17" s="46" customFormat="1" ht="11.25" hidden="1">
      <c r="A53" s="46" t="e">
        <f>IF(#REF!=1,I53,N53)</f>
        <v>#REF!</v>
      </c>
      <c r="G53" s="47"/>
      <c r="H53" s="47"/>
      <c r="I53" s="46" t="s">
        <v>117</v>
      </c>
      <c r="J53" s="48"/>
      <c r="K53" s="49"/>
      <c r="L53" s="49"/>
      <c r="N53" s="46" t="s">
        <v>132</v>
      </c>
      <c r="O53" s="48"/>
      <c r="P53" s="49"/>
      <c r="Q53" s="49"/>
    </row>
    <row r="54" spans="1:17" s="46" customFormat="1" ht="11.25" hidden="1">
      <c r="A54" s="46" t="e">
        <f>IF(#REF!=1,I54,N54)</f>
        <v>#REF!</v>
      </c>
      <c r="C54" s="50" t="e">
        <f>IF(#REF!=1,K54,P54)</f>
        <v>#REF!</v>
      </c>
      <c r="D54" s="46" t="e">
        <f>IF(#REF!=1,L54,Q54)</f>
        <v>#REF!</v>
      </c>
      <c r="G54" s="47"/>
      <c r="H54" s="47"/>
      <c r="I54" s="46" t="s">
        <v>118</v>
      </c>
      <c r="J54" s="48"/>
      <c r="K54" s="50">
        <v>37712</v>
      </c>
      <c r="L54" s="51" t="s">
        <v>119</v>
      </c>
      <c r="N54" s="46" t="s">
        <v>118</v>
      </c>
      <c r="O54" s="48"/>
      <c r="P54" s="50">
        <v>37712</v>
      </c>
      <c r="Q54" s="51" t="s">
        <v>133</v>
      </c>
    </row>
    <row r="55" spans="1:17" s="46" customFormat="1" ht="11.25" hidden="1">
      <c r="A55" s="46" t="e">
        <f>IF(#REF!=1,I55,N55)</f>
        <v>#REF!</v>
      </c>
      <c r="C55" s="50" t="e">
        <f>IF(#REF!=1,K55,P55)</f>
        <v>#REF!</v>
      </c>
      <c r="D55" s="46" t="e">
        <f>IF(#REF!=1,L55,Q55)</f>
        <v>#REF!</v>
      </c>
      <c r="G55" s="47"/>
      <c r="H55" s="47"/>
      <c r="I55" s="46" t="s">
        <v>120</v>
      </c>
      <c r="J55" s="48"/>
      <c r="K55" s="50">
        <v>37742</v>
      </c>
      <c r="L55" s="51" t="s">
        <v>121</v>
      </c>
      <c r="N55" s="46" t="s">
        <v>120</v>
      </c>
      <c r="O55" s="48"/>
      <c r="P55" s="50">
        <v>37742</v>
      </c>
      <c r="Q55" s="51" t="s">
        <v>134</v>
      </c>
    </row>
    <row r="56" spans="1:17" s="46" customFormat="1" ht="11.25" hidden="1">
      <c r="A56" s="46" t="e">
        <f>IF(#REF!=1,I56,N56)</f>
        <v>#REF!</v>
      </c>
      <c r="C56" s="50" t="e">
        <f>IF(#REF!=1,K56,P56)</f>
        <v>#REF!</v>
      </c>
      <c r="D56" s="46" t="e">
        <f>IF(#REF!=1,L56,Q56)</f>
        <v>#REF!</v>
      </c>
      <c r="G56" s="47"/>
      <c r="H56" s="47"/>
      <c r="I56" s="46" t="s">
        <v>122</v>
      </c>
      <c r="J56" s="48"/>
      <c r="K56" s="50">
        <v>37865</v>
      </c>
      <c r="L56" s="51" t="s">
        <v>123</v>
      </c>
      <c r="N56" s="46" t="s">
        <v>122</v>
      </c>
      <c r="O56" s="48"/>
      <c r="P56" s="50">
        <v>37865</v>
      </c>
      <c r="Q56" s="51" t="s">
        <v>135</v>
      </c>
    </row>
    <row r="57" spans="1:17" s="46" customFormat="1" ht="11.25" hidden="1">
      <c r="A57" s="46" t="e">
        <f>IF(#REF!=1,I57,N57)</f>
        <v>#REF!</v>
      </c>
      <c r="C57" s="50" t="e">
        <f>IF(#REF!=1,K57,P57)</f>
        <v>#REF!</v>
      </c>
      <c r="D57" s="46" t="e">
        <f>IF(#REF!=1,L57,Q57)</f>
        <v>#REF!</v>
      </c>
      <c r="G57" s="47"/>
      <c r="H57" s="47"/>
      <c r="I57" s="46" t="s">
        <v>124</v>
      </c>
      <c r="J57" s="51"/>
      <c r="K57" s="50">
        <v>37895</v>
      </c>
      <c r="L57" s="51" t="s">
        <v>128</v>
      </c>
      <c r="N57" s="46" t="s">
        <v>124</v>
      </c>
      <c r="O57" s="51"/>
      <c r="P57" s="50">
        <v>37895</v>
      </c>
      <c r="Q57" s="51" t="s">
        <v>136</v>
      </c>
    </row>
    <row r="58" spans="1:17" s="46" customFormat="1" ht="11.25" hidden="1">
      <c r="A58" s="46" t="e">
        <f>IF(#REF!=1,I58,N58)</f>
        <v>#REF!</v>
      </c>
      <c r="C58" s="50" t="e">
        <f>IF(#REF!=1,K58,P58)</f>
        <v>#REF!</v>
      </c>
      <c r="D58" s="46" t="e">
        <f>IF(#REF!=1,L58,Q58)</f>
        <v>#REF!</v>
      </c>
      <c r="G58" s="47"/>
      <c r="H58" s="47"/>
      <c r="I58" s="46" t="s">
        <v>125</v>
      </c>
      <c r="J58" s="48"/>
      <c r="K58" s="50">
        <v>37926</v>
      </c>
      <c r="L58" s="51" t="s">
        <v>129</v>
      </c>
      <c r="N58" s="46" t="s">
        <v>125</v>
      </c>
      <c r="O58" s="48"/>
      <c r="P58" s="50">
        <v>37926</v>
      </c>
      <c r="Q58" s="51" t="s">
        <v>137</v>
      </c>
    </row>
    <row r="59" spans="1:17" s="46" customFormat="1" ht="11.25" hidden="1">
      <c r="A59" s="46" t="e">
        <f>IF(#REF!=1,I59,N59)</f>
        <v>#REF!</v>
      </c>
      <c r="C59" s="50" t="e">
        <f>IF(#REF!=1,K59,P59)</f>
        <v>#REF!</v>
      </c>
      <c r="D59" s="46" t="e">
        <f>IF(#REF!=1,L59,Q59)</f>
        <v>#REF!</v>
      </c>
      <c r="G59" s="47"/>
      <c r="H59" s="47"/>
      <c r="I59" s="46" t="s">
        <v>126</v>
      </c>
      <c r="J59" s="48"/>
      <c r="K59" s="50">
        <v>37956</v>
      </c>
      <c r="L59" s="51" t="s">
        <v>142</v>
      </c>
      <c r="N59" s="46" t="s">
        <v>126</v>
      </c>
      <c r="O59" s="48"/>
      <c r="P59" s="50">
        <v>37956</v>
      </c>
      <c r="Q59" s="51" t="s">
        <v>130</v>
      </c>
    </row>
    <row r="60" spans="1:17" s="46" customFormat="1" ht="11.25" hidden="1">
      <c r="A60" s="46" t="e">
        <f>IF(#REF!=1,I60,N60)</f>
        <v>#REF!</v>
      </c>
      <c r="C60" s="50" t="e">
        <f>IF(#REF!=1,K60,P60)</f>
        <v>#REF!</v>
      </c>
      <c r="D60" s="46" t="e">
        <f>IF(#REF!=1,L60,Q60)</f>
        <v>#REF!</v>
      </c>
      <c r="G60" s="47"/>
      <c r="H60" s="47"/>
      <c r="I60" s="46" t="s">
        <v>127</v>
      </c>
      <c r="J60" s="51"/>
      <c r="K60" s="50">
        <v>38018</v>
      </c>
      <c r="L60" s="51" t="s">
        <v>143</v>
      </c>
      <c r="N60" s="46" t="s">
        <v>127</v>
      </c>
      <c r="O60" s="51"/>
      <c r="P60" s="50">
        <v>38018</v>
      </c>
      <c r="Q60" s="51" t="s">
        <v>144</v>
      </c>
    </row>
    <row r="61" spans="1:17" s="46" customFormat="1" ht="11.25" hidden="1">
      <c r="A61" s="46" t="e">
        <f>IF(#REF!=1,I61,N61)</f>
        <v>#REF!</v>
      </c>
      <c r="C61" s="50" t="e">
        <f>IF(#REF!=1,K61,P61)</f>
        <v>#REF!</v>
      </c>
      <c r="D61" s="46" t="e">
        <f>IF(#REF!=1,L61,Q61)</f>
        <v>#REF!</v>
      </c>
      <c r="G61" s="47"/>
      <c r="H61" s="47"/>
      <c r="I61" s="46" t="s">
        <v>141</v>
      </c>
      <c r="J61" s="51"/>
      <c r="K61" s="50">
        <v>38078</v>
      </c>
      <c r="L61" s="51" t="s">
        <v>139</v>
      </c>
      <c r="N61" s="46" t="s">
        <v>141</v>
      </c>
      <c r="O61" s="51"/>
      <c r="P61" s="50">
        <v>38078</v>
      </c>
      <c r="Q61" s="51" t="s">
        <v>140</v>
      </c>
    </row>
    <row r="62" spans="1:17" s="46" customFormat="1" ht="11.25" hidden="1">
      <c r="A62" s="46" t="e">
        <f>IF(#REF!=1,I62,N62)</f>
        <v>#REF!</v>
      </c>
      <c r="C62" s="50" t="e">
        <f>IF(#REF!=1,K62,P62)</f>
        <v>#REF!</v>
      </c>
      <c r="D62" s="46" t="e">
        <f>IF(#REF!=1,L62,Q62)</f>
        <v>#REF!</v>
      </c>
      <c r="G62" s="47"/>
      <c r="H62" s="47"/>
      <c r="I62" s="46" t="s">
        <v>145</v>
      </c>
      <c r="J62" s="48"/>
      <c r="K62" s="50">
        <v>38108</v>
      </c>
      <c r="L62" s="51" t="s">
        <v>131</v>
      </c>
      <c r="N62" s="46" t="s">
        <v>145</v>
      </c>
      <c r="O62" s="48"/>
      <c r="P62" s="50">
        <v>38108</v>
      </c>
      <c r="Q62" s="51" t="s">
        <v>138</v>
      </c>
    </row>
    <row r="63" spans="1:17" s="46" customFormat="1" ht="11.25" hidden="1">
      <c r="A63" s="46" t="s">
        <v>148</v>
      </c>
      <c r="C63" s="50">
        <v>38777</v>
      </c>
      <c r="D63" s="46" t="s">
        <v>149</v>
      </c>
      <c r="G63" s="47"/>
      <c r="H63" s="47"/>
      <c r="J63" s="48"/>
      <c r="K63" s="50"/>
      <c r="L63" s="51"/>
      <c r="O63" s="48"/>
      <c r="P63" s="50"/>
      <c r="Q63" s="51"/>
    </row>
    <row r="64" spans="1:17" s="46" customFormat="1" ht="11.25" hidden="1">
      <c r="A64" s="46" t="s">
        <v>150</v>
      </c>
      <c r="C64" s="50">
        <v>39173</v>
      </c>
      <c r="D64" s="46" t="s">
        <v>151</v>
      </c>
      <c r="G64" s="47"/>
      <c r="H64" s="47"/>
    </row>
    <row r="65" spans="2:8" s="46" customFormat="1" ht="11.25" hidden="1">
      <c r="B65" s="48"/>
      <c r="C65" s="49"/>
      <c r="D65" s="49"/>
      <c r="G65" s="47"/>
      <c r="H65" s="47"/>
    </row>
  </sheetData>
  <sheetProtection selectLockedCells="1"/>
  <conditionalFormatting sqref="M46:M47 L47 D47 M37 R47">
    <cfRule type="cellIs" dxfId="17" priority="1" stopIfTrue="1" operator="equal">
      <formula>"neben der Innenstütze*"</formula>
    </cfRule>
  </conditionalFormatting>
  <conditionalFormatting sqref="R38:R39 M38:M39">
    <cfRule type="cellIs" dxfId="16" priority="2" stopIfTrue="1" operator="equal">
      <formula>"*"</formula>
    </cfRule>
  </conditionalFormatting>
  <conditionalFormatting sqref="R37 R46">
    <cfRule type="cellIs" dxfId="15" priority="3" stopIfTrue="1" operator="equal">
      <formula>"beside the intermediate support*"</formula>
    </cfRule>
  </conditionalFormatting>
  <printOptions horizontalCentered="1"/>
  <pageMargins left="0.78740157480314965" right="0.39370078740157483" top="0.3" bottom="0.31496062992125984" header="0.31496062992125984" footer="0.31496062992125984"/>
  <pageSetup paperSize="9" scale="62" fitToHeight="3" orientation="portrait" horizontalDpi="300" verticalDpi="300" r:id="rId1"/>
  <headerFooter alignWithMargins="0">
    <oddFooter>Seite &amp;P von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>
              <from>
                <xdr:col>4</xdr:col>
                <xdr:colOff>114300</xdr:colOff>
                <xdr:row>12</xdr:row>
                <xdr:rowOff>161925</xdr:rowOff>
              </from>
              <to>
                <xdr:col>4</xdr:col>
                <xdr:colOff>1371600</xdr:colOff>
                <xdr:row>14</xdr:row>
                <xdr:rowOff>76200</xdr:rowOff>
              </to>
            </anchor>
          </objectPr>
        </oleObject>
      </mc:Choice>
      <mc:Fallback>
        <oleObject progId="Equation.3" shapeId="16385" r:id="rId4"/>
      </mc:Fallback>
    </mc:AlternateContent>
    <mc:AlternateContent xmlns:mc="http://schemas.openxmlformats.org/markup-compatibility/2006">
      <mc:Choice Requires="x14">
        <oleObject progId="Equation.3" shapeId="16386" r:id="rId6">
          <objectPr defaultSize="0" autoPict="0" r:id="rId7">
            <anchor moveWithCells="1">
              <from>
                <xdr:col>4</xdr:col>
                <xdr:colOff>85725</xdr:colOff>
                <xdr:row>5</xdr:row>
                <xdr:rowOff>66675</xdr:rowOff>
              </from>
              <to>
                <xdr:col>4</xdr:col>
                <xdr:colOff>1152525</xdr:colOff>
                <xdr:row>6</xdr:row>
                <xdr:rowOff>133350</xdr:rowOff>
              </to>
            </anchor>
          </objectPr>
        </oleObject>
      </mc:Choice>
      <mc:Fallback>
        <oleObject progId="Equation.3" shapeId="16386" r:id="rId6"/>
      </mc:Fallback>
    </mc:AlternateContent>
    <mc:AlternateContent xmlns:mc="http://schemas.openxmlformats.org/markup-compatibility/2006">
      <mc:Choice Requires="x14">
        <oleObject progId="Equation.3" shapeId="16387" r:id="rId8">
          <objectPr defaultSize="0" autoPict="0" r:id="rId9">
            <anchor moveWithCells="1">
              <from>
                <xdr:col>4</xdr:col>
                <xdr:colOff>1800225</xdr:colOff>
                <xdr:row>1</xdr:row>
                <xdr:rowOff>0</xdr:rowOff>
              </from>
              <to>
                <xdr:col>5</xdr:col>
                <xdr:colOff>904875</xdr:colOff>
                <xdr:row>15</xdr:row>
                <xdr:rowOff>171450</xdr:rowOff>
              </to>
            </anchor>
          </objectPr>
        </oleObject>
      </mc:Choice>
      <mc:Fallback>
        <oleObject progId="Equation.3" shapeId="1638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01"/>
  <sheetViews>
    <sheetView topLeftCell="A13" workbookViewId="0">
      <selection activeCell="C62" sqref="C62"/>
    </sheetView>
  </sheetViews>
  <sheetFormatPr baseColWidth="10" defaultRowHeight="12.75"/>
  <cols>
    <col min="1" max="1" width="36.7109375" style="4" customWidth="1"/>
    <col min="2" max="2" width="4.7109375" style="30" bestFit="1" customWidth="1"/>
    <col min="3" max="3" width="14.42578125" style="3" customWidth="1"/>
    <col min="4" max="4" width="13.7109375" style="3" customWidth="1"/>
    <col min="5" max="5" width="35.28515625" style="4" customWidth="1"/>
    <col min="6" max="6" width="11.5703125" style="5" customWidth="1"/>
    <col min="7" max="7" width="9.28515625" style="5" customWidth="1"/>
    <col min="8" max="8" width="12.140625" style="17" customWidth="1"/>
    <col min="9" max="12" width="2.85546875" style="17" customWidth="1"/>
    <col min="13" max="13" width="6.28515625" style="17" customWidth="1"/>
    <col min="14" max="14" width="3.42578125" style="17" customWidth="1"/>
    <col min="15" max="15" width="3.28515625" style="17" customWidth="1"/>
    <col min="16" max="16" width="3.140625" style="17" customWidth="1"/>
    <col min="17" max="20" width="6.7109375" style="17" customWidth="1"/>
    <col min="21" max="21" width="5.5703125" style="17" customWidth="1"/>
    <col min="22" max="39" width="6.7109375" style="17" customWidth="1"/>
    <col min="40" max="61" width="11.42578125" style="17" customWidth="1"/>
    <col min="62" max="256" width="11.42578125" style="4"/>
    <col min="257" max="257" width="36.7109375" style="4" customWidth="1"/>
    <col min="258" max="258" width="4.7109375" style="4" bestFit="1" customWidth="1"/>
    <col min="259" max="259" width="14.42578125" style="4" customWidth="1"/>
    <col min="260" max="260" width="13.7109375" style="4" customWidth="1"/>
    <col min="261" max="261" width="35.28515625" style="4" customWidth="1"/>
    <col min="262" max="262" width="11.5703125" style="4" customWidth="1"/>
    <col min="263" max="263" width="9.28515625" style="4" customWidth="1"/>
    <col min="264" max="264" width="5.85546875" style="4" customWidth="1"/>
    <col min="265" max="268" width="2.85546875" style="4" customWidth="1"/>
    <col min="269" max="269" width="6.28515625" style="4" customWidth="1"/>
    <col min="270" max="270" width="3.42578125" style="4" customWidth="1"/>
    <col min="271" max="271" width="3.28515625" style="4" customWidth="1"/>
    <col min="272" max="272" width="3.140625" style="4" customWidth="1"/>
    <col min="273" max="276" width="6.7109375" style="4" customWidth="1"/>
    <col min="277" max="277" width="5.5703125" style="4" customWidth="1"/>
    <col min="278" max="295" width="6.7109375" style="4" customWidth="1"/>
    <col min="296" max="317" width="11.42578125" style="4" customWidth="1"/>
    <col min="318" max="512" width="11.42578125" style="4"/>
    <col min="513" max="513" width="36.7109375" style="4" customWidth="1"/>
    <col min="514" max="514" width="4.7109375" style="4" bestFit="1" customWidth="1"/>
    <col min="515" max="515" width="14.42578125" style="4" customWidth="1"/>
    <col min="516" max="516" width="13.7109375" style="4" customWidth="1"/>
    <col min="517" max="517" width="35.28515625" style="4" customWidth="1"/>
    <col min="518" max="518" width="11.5703125" style="4" customWidth="1"/>
    <col min="519" max="519" width="9.28515625" style="4" customWidth="1"/>
    <col min="520" max="520" width="5.85546875" style="4" customWidth="1"/>
    <col min="521" max="524" width="2.85546875" style="4" customWidth="1"/>
    <col min="525" max="525" width="6.28515625" style="4" customWidth="1"/>
    <col min="526" max="526" width="3.42578125" style="4" customWidth="1"/>
    <col min="527" max="527" width="3.28515625" style="4" customWidth="1"/>
    <col min="528" max="528" width="3.140625" style="4" customWidth="1"/>
    <col min="529" max="532" width="6.7109375" style="4" customWidth="1"/>
    <col min="533" max="533" width="5.5703125" style="4" customWidth="1"/>
    <col min="534" max="551" width="6.7109375" style="4" customWidth="1"/>
    <col min="552" max="573" width="11.42578125" style="4" customWidth="1"/>
    <col min="574" max="768" width="11.42578125" style="4"/>
    <col min="769" max="769" width="36.7109375" style="4" customWidth="1"/>
    <col min="770" max="770" width="4.7109375" style="4" bestFit="1" customWidth="1"/>
    <col min="771" max="771" width="14.42578125" style="4" customWidth="1"/>
    <col min="772" max="772" width="13.7109375" style="4" customWidth="1"/>
    <col min="773" max="773" width="35.28515625" style="4" customWidth="1"/>
    <col min="774" max="774" width="11.5703125" style="4" customWidth="1"/>
    <col min="775" max="775" width="9.28515625" style="4" customWidth="1"/>
    <col min="776" max="776" width="5.85546875" style="4" customWidth="1"/>
    <col min="777" max="780" width="2.85546875" style="4" customWidth="1"/>
    <col min="781" max="781" width="6.28515625" style="4" customWidth="1"/>
    <col min="782" max="782" width="3.42578125" style="4" customWidth="1"/>
    <col min="783" max="783" width="3.28515625" style="4" customWidth="1"/>
    <col min="784" max="784" width="3.140625" style="4" customWidth="1"/>
    <col min="785" max="788" width="6.7109375" style="4" customWidth="1"/>
    <col min="789" max="789" width="5.5703125" style="4" customWidth="1"/>
    <col min="790" max="807" width="6.7109375" style="4" customWidth="1"/>
    <col min="808" max="829" width="11.42578125" style="4" customWidth="1"/>
    <col min="830" max="1024" width="11.42578125" style="4"/>
    <col min="1025" max="1025" width="36.7109375" style="4" customWidth="1"/>
    <col min="1026" max="1026" width="4.7109375" style="4" bestFit="1" customWidth="1"/>
    <col min="1027" max="1027" width="14.42578125" style="4" customWidth="1"/>
    <col min="1028" max="1028" width="13.7109375" style="4" customWidth="1"/>
    <col min="1029" max="1029" width="35.28515625" style="4" customWidth="1"/>
    <col min="1030" max="1030" width="11.5703125" style="4" customWidth="1"/>
    <col min="1031" max="1031" width="9.28515625" style="4" customWidth="1"/>
    <col min="1032" max="1032" width="5.85546875" style="4" customWidth="1"/>
    <col min="1033" max="1036" width="2.85546875" style="4" customWidth="1"/>
    <col min="1037" max="1037" width="6.28515625" style="4" customWidth="1"/>
    <col min="1038" max="1038" width="3.42578125" style="4" customWidth="1"/>
    <col min="1039" max="1039" width="3.28515625" style="4" customWidth="1"/>
    <col min="1040" max="1040" width="3.140625" style="4" customWidth="1"/>
    <col min="1041" max="1044" width="6.7109375" style="4" customWidth="1"/>
    <col min="1045" max="1045" width="5.5703125" style="4" customWidth="1"/>
    <col min="1046" max="1063" width="6.7109375" style="4" customWidth="1"/>
    <col min="1064" max="1085" width="11.42578125" style="4" customWidth="1"/>
    <col min="1086" max="1280" width="11.42578125" style="4"/>
    <col min="1281" max="1281" width="36.7109375" style="4" customWidth="1"/>
    <col min="1282" max="1282" width="4.7109375" style="4" bestFit="1" customWidth="1"/>
    <col min="1283" max="1283" width="14.42578125" style="4" customWidth="1"/>
    <col min="1284" max="1284" width="13.7109375" style="4" customWidth="1"/>
    <col min="1285" max="1285" width="35.28515625" style="4" customWidth="1"/>
    <col min="1286" max="1286" width="11.5703125" style="4" customWidth="1"/>
    <col min="1287" max="1287" width="9.28515625" style="4" customWidth="1"/>
    <col min="1288" max="1288" width="5.85546875" style="4" customWidth="1"/>
    <col min="1289" max="1292" width="2.85546875" style="4" customWidth="1"/>
    <col min="1293" max="1293" width="6.28515625" style="4" customWidth="1"/>
    <col min="1294" max="1294" width="3.42578125" style="4" customWidth="1"/>
    <col min="1295" max="1295" width="3.28515625" style="4" customWidth="1"/>
    <col min="1296" max="1296" width="3.140625" style="4" customWidth="1"/>
    <col min="1297" max="1300" width="6.7109375" style="4" customWidth="1"/>
    <col min="1301" max="1301" width="5.5703125" style="4" customWidth="1"/>
    <col min="1302" max="1319" width="6.7109375" style="4" customWidth="1"/>
    <col min="1320" max="1341" width="11.42578125" style="4" customWidth="1"/>
    <col min="1342" max="1536" width="11.42578125" style="4"/>
    <col min="1537" max="1537" width="36.7109375" style="4" customWidth="1"/>
    <col min="1538" max="1538" width="4.7109375" style="4" bestFit="1" customWidth="1"/>
    <col min="1539" max="1539" width="14.42578125" style="4" customWidth="1"/>
    <col min="1540" max="1540" width="13.7109375" style="4" customWidth="1"/>
    <col min="1541" max="1541" width="35.28515625" style="4" customWidth="1"/>
    <col min="1542" max="1542" width="11.5703125" style="4" customWidth="1"/>
    <col min="1543" max="1543" width="9.28515625" style="4" customWidth="1"/>
    <col min="1544" max="1544" width="5.85546875" style="4" customWidth="1"/>
    <col min="1545" max="1548" width="2.85546875" style="4" customWidth="1"/>
    <col min="1549" max="1549" width="6.28515625" style="4" customWidth="1"/>
    <col min="1550" max="1550" width="3.42578125" style="4" customWidth="1"/>
    <col min="1551" max="1551" width="3.28515625" style="4" customWidth="1"/>
    <col min="1552" max="1552" width="3.140625" style="4" customWidth="1"/>
    <col min="1553" max="1556" width="6.7109375" style="4" customWidth="1"/>
    <col min="1557" max="1557" width="5.5703125" style="4" customWidth="1"/>
    <col min="1558" max="1575" width="6.7109375" style="4" customWidth="1"/>
    <col min="1576" max="1597" width="11.42578125" style="4" customWidth="1"/>
    <col min="1598" max="1792" width="11.42578125" style="4"/>
    <col min="1793" max="1793" width="36.7109375" style="4" customWidth="1"/>
    <col min="1794" max="1794" width="4.7109375" style="4" bestFit="1" customWidth="1"/>
    <col min="1795" max="1795" width="14.42578125" style="4" customWidth="1"/>
    <col min="1796" max="1796" width="13.7109375" style="4" customWidth="1"/>
    <col min="1797" max="1797" width="35.28515625" style="4" customWidth="1"/>
    <col min="1798" max="1798" width="11.5703125" style="4" customWidth="1"/>
    <col min="1799" max="1799" width="9.28515625" style="4" customWidth="1"/>
    <col min="1800" max="1800" width="5.85546875" style="4" customWidth="1"/>
    <col min="1801" max="1804" width="2.85546875" style="4" customWidth="1"/>
    <col min="1805" max="1805" width="6.28515625" style="4" customWidth="1"/>
    <col min="1806" max="1806" width="3.42578125" style="4" customWidth="1"/>
    <col min="1807" max="1807" width="3.28515625" style="4" customWidth="1"/>
    <col min="1808" max="1808" width="3.140625" style="4" customWidth="1"/>
    <col min="1809" max="1812" width="6.7109375" style="4" customWidth="1"/>
    <col min="1813" max="1813" width="5.5703125" style="4" customWidth="1"/>
    <col min="1814" max="1831" width="6.7109375" style="4" customWidth="1"/>
    <col min="1832" max="1853" width="11.42578125" style="4" customWidth="1"/>
    <col min="1854" max="2048" width="11.42578125" style="4"/>
    <col min="2049" max="2049" width="36.7109375" style="4" customWidth="1"/>
    <col min="2050" max="2050" width="4.7109375" style="4" bestFit="1" customWidth="1"/>
    <col min="2051" max="2051" width="14.42578125" style="4" customWidth="1"/>
    <col min="2052" max="2052" width="13.7109375" style="4" customWidth="1"/>
    <col min="2053" max="2053" width="35.28515625" style="4" customWidth="1"/>
    <col min="2054" max="2054" width="11.5703125" style="4" customWidth="1"/>
    <col min="2055" max="2055" width="9.28515625" style="4" customWidth="1"/>
    <col min="2056" max="2056" width="5.85546875" style="4" customWidth="1"/>
    <col min="2057" max="2060" width="2.85546875" style="4" customWidth="1"/>
    <col min="2061" max="2061" width="6.28515625" style="4" customWidth="1"/>
    <col min="2062" max="2062" width="3.42578125" style="4" customWidth="1"/>
    <col min="2063" max="2063" width="3.28515625" style="4" customWidth="1"/>
    <col min="2064" max="2064" width="3.140625" style="4" customWidth="1"/>
    <col min="2065" max="2068" width="6.7109375" style="4" customWidth="1"/>
    <col min="2069" max="2069" width="5.5703125" style="4" customWidth="1"/>
    <col min="2070" max="2087" width="6.7109375" style="4" customWidth="1"/>
    <col min="2088" max="2109" width="11.42578125" style="4" customWidth="1"/>
    <col min="2110" max="2304" width="11.42578125" style="4"/>
    <col min="2305" max="2305" width="36.7109375" style="4" customWidth="1"/>
    <col min="2306" max="2306" width="4.7109375" style="4" bestFit="1" customWidth="1"/>
    <col min="2307" max="2307" width="14.42578125" style="4" customWidth="1"/>
    <col min="2308" max="2308" width="13.7109375" style="4" customWidth="1"/>
    <col min="2309" max="2309" width="35.28515625" style="4" customWidth="1"/>
    <col min="2310" max="2310" width="11.5703125" style="4" customWidth="1"/>
    <col min="2311" max="2311" width="9.28515625" style="4" customWidth="1"/>
    <col min="2312" max="2312" width="5.85546875" style="4" customWidth="1"/>
    <col min="2313" max="2316" width="2.85546875" style="4" customWidth="1"/>
    <col min="2317" max="2317" width="6.28515625" style="4" customWidth="1"/>
    <col min="2318" max="2318" width="3.42578125" style="4" customWidth="1"/>
    <col min="2319" max="2319" width="3.28515625" style="4" customWidth="1"/>
    <col min="2320" max="2320" width="3.140625" style="4" customWidth="1"/>
    <col min="2321" max="2324" width="6.7109375" style="4" customWidth="1"/>
    <col min="2325" max="2325" width="5.5703125" style="4" customWidth="1"/>
    <col min="2326" max="2343" width="6.7109375" style="4" customWidth="1"/>
    <col min="2344" max="2365" width="11.42578125" style="4" customWidth="1"/>
    <col min="2366" max="2560" width="11.42578125" style="4"/>
    <col min="2561" max="2561" width="36.7109375" style="4" customWidth="1"/>
    <col min="2562" max="2562" width="4.7109375" style="4" bestFit="1" customWidth="1"/>
    <col min="2563" max="2563" width="14.42578125" style="4" customWidth="1"/>
    <col min="2564" max="2564" width="13.7109375" style="4" customWidth="1"/>
    <col min="2565" max="2565" width="35.28515625" style="4" customWidth="1"/>
    <col min="2566" max="2566" width="11.5703125" style="4" customWidth="1"/>
    <col min="2567" max="2567" width="9.28515625" style="4" customWidth="1"/>
    <col min="2568" max="2568" width="5.85546875" style="4" customWidth="1"/>
    <col min="2569" max="2572" width="2.85546875" style="4" customWidth="1"/>
    <col min="2573" max="2573" width="6.28515625" style="4" customWidth="1"/>
    <col min="2574" max="2574" width="3.42578125" style="4" customWidth="1"/>
    <col min="2575" max="2575" width="3.28515625" style="4" customWidth="1"/>
    <col min="2576" max="2576" width="3.140625" style="4" customWidth="1"/>
    <col min="2577" max="2580" width="6.7109375" style="4" customWidth="1"/>
    <col min="2581" max="2581" width="5.5703125" style="4" customWidth="1"/>
    <col min="2582" max="2599" width="6.7109375" style="4" customWidth="1"/>
    <col min="2600" max="2621" width="11.42578125" style="4" customWidth="1"/>
    <col min="2622" max="2816" width="11.42578125" style="4"/>
    <col min="2817" max="2817" width="36.7109375" style="4" customWidth="1"/>
    <col min="2818" max="2818" width="4.7109375" style="4" bestFit="1" customWidth="1"/>
    <col min="2819" max="2819" width="14.42578125" style="4" customWidth="1"/>
    <col min="2820" max="2820" width="13.7109375" style="4" customWidth="1"/>
    <col min="2821" max="2821" width="35.28515625" style="4" customWidth="1"/>
    <col min="2822" max="2822" width="11.5703125" style="4" customWidth="1"/>
    <col min="2823" max="2823" width="9.28515625" style="4" customWidth="1"/>
    <col min="2824" max="2824" width="5.85546875" style="4" customWidth="1"/>
    <col min="2825" max="2828" width="2.85546875" style="4" customWidth="1"/>
    <col min="2829" max="2829" width="6.28515625" style="4" customWidth="1"/>
    <col min="2830" max="2830" width="3.42578125" style="4" customWidth="1"/>
    <col min="2831" max="2831" width="3.28515625" style="4" customWidth="1"/>
    <col min="2832" max="2832" width="3.140625" style="4" customWidth="1"/>
    <col min="2833" max="2836" width="6.7109375" style="4" customWidth="1"/>
    <col min="2837" max="2837" width="5.5703125" style="4" customWidth="1"/>
    <col min="2838" max="2855" width="6.7109375" style="4" customWidth="1"/>
    <col min="2856" max="2877" width="11.42578125" style="4" customWidth="1"/>
    <col min="2878" max="3072" width="11.42578125" style="4"/>
    <col min="3073" max="3073" width="36.7109375" style="4" customWidth="1"/>
    <col min="3074" max="3074" width="4.7109375" style="4" bestFit="1" customWidth="1"/>
    <col min="3075" max="3075" width="14.42578125" style="4" customWidth="1"/>
    <col min="3076" max="3076" width="13.7109375" style="4" customWidth="1"/>
    <col min="3077" max="3077" width="35.28515625" style="4" customWidth="1"/>
    <col min="3078" max="3078" width="11.5703125" style="4" customWidth="1"/>
    <col min="3079" max="3079" width="9.28515625" style="4" customWidth="1"/>
    <col min="3080" max="3080" width="5.85546875" style="4" customWidth="1"/>
    <col min="3081" max="3084" width="2.85546875" style="4" customWidth="1"/>
    <col min="3085" max="3085" width="6.28515625" style="4" customWidth="1"/>
    <col min="3086" max="3086" width="3.42578125" style="4" customWidth="1"/>
    <col min="3087" max="3087" width="3.28515625" style="4" customWidth="1"/>
    <col min="3088" max="3088" width="3.140625" style="4" customWidth="1"/>
    <col min="3089" max="3092" width="6.7109375" style="4" customWidth="1"/>
    <col min="3093" max="3093" width="5.5703125" style="4" customWidth="1"/>
    <col min="3094" max="3111" width="6.7109375" style="4" customWidth="1"/>
    <col min="3112" max="3133" width="11.42578125" style="4" customWidth="1"/>
    <col min="3134" max="3328" width="11.42578125" style="4"/>
    <col min="3329" max="3329" width="36.7109375" style="4" customWidth="1"/>
    <col min="3330" max="3330" width="4.7109375" style="4" bestFit="1" customWidth="1"/>
    <col min="3331" max="3331" width="14.42578125" style="4" customWidth="1"/>
    <col min="3332" max="3332" width="13.7109375" style="4" customWidth="1"/>
    <col min="3333" max="3333" width="35.28515625" style="4" customWidth="1"/>
    <col min="3334" max="3334" width="11.5703125" style="4" customWidth="1"/>
    <col min="3335" max="3335" width="9.28515625" style="4" customWidth="1"/>
    <col min="3336" max="3336" width="5.85546875" style="4" customWidth="1"/>
    <col min="3337" max="3340" width="2.85546875" style="4" customWidth="1"/>
    <col min="3341" max="3341" width="6.28515625" style="4" customWidth="1"/>
    <col min="3342" max="3342" width="3.42578125" style="4" customWidth="1"/>
    <col min="3343" max="3343" width="3.28515625" style="4" customWidth="1"/>
    <col min="3344" max="3344" width="3.140625" style="4" customWidth="1"/>
    <col min="3345" max="3348" width="6.7109375" style="4" customWidth="1"/>
    <col min="3349" max="3349" width="5.5703125" style="4" customWidth="1"/>
    <col min="3350" max="3367" width="6.7109375" style="4" customWidth="1"/>
    <col min="3368" max="3389" width="11.42578125" style="4" customWidth="1"/>
    <col min="3390" max="3584" width="11.42578125" style="4"/>
    <col min="3585" max="3585" width="36.7109375" style="4" customWidth="1"/>
    <col min="3586" max="3586" width="4.7109375" style="4" bestFit="1" customWidth="1"/>
    <col min="3587" max="3587" width="14.42578125" style="4" customWidth="1"/>
    <col min="3588" max="3588" width="13.7109375" style="4" customWidth="1"/>
    <col min="3589" max="3589" width="35.28515625" style="4" customWidth="1"/>
    <col min="3590" max="3590" width="11.5703125" style="4" customWidth="1"/>
    <col min="3591" max="3591" width="9.28515625" style="4" customWidth="1"/>
    <col min="3592" max="3592" width="5.85546875" style="4" customWidth="1"/>
    <col min="3593" max="3596" width="2.85546875" style="4" customWidth="1"/>
    <col min="3597" max="3597" width="6.28515625" style="4" customWidth="1"/>
    <col min="3598" max="3598" width="3.42578125" style="4" customWidth="1"/>
    <col min="3599" max="3599" width="3.28515625" style="4" customWidth="1"/>
    <col min="3600" max="3600" width="3.140625" style="4" customWidth="1"/>
    <col min="3601" max="3604" width="6.7109375" style="4" customWidth="1"/>
    <col min="3605" max="3605" width="5.5703125" style="4" customWidth="1"/>
    <col min="3606" max="3623" width="6.7109375" style="4" customWidth="1"/>
    <col min="3624" max="3645" width="11.42578125" style="4" customWidth="1"/>
    <col min="3646" max="3840" width="11.42578125" style="4"/>
    <col min="3841" max="3841" width="36.7109375" style="4" customWidth="1"/>
    <col min="3842" max="3842" width="4.7109375" style="4" bestFit="1" customWidth="1"/>
    <col min="3843" max="3843" width="14.42578125" style="4" customWidth="1"/>
    <col min="3844" max="3844" width="13.7109375" style="4" customWidth="1"/>
    <col min="3845" max="3845" width="35.28515625" style="4" customWidth="1"/>
    <col min="3846" max="3846" width="11.5703125" style="4" customWidth="1"/>
    <col min="3847" max="3847" width="9.28515625" style="4" customWidth="1"/>
    <col min="3848" max="3848" width="5.85546875" style="4" customWidth="1"/>
    <col min="3849" max="3852" width="2.85546875" style="4" customWidth="1"/>
    <col min="3853" max="3853" width="6.28515625" style="4" customWidth="1"/>
    <col min="3854" max="3854" width="3.42578125" style="4" customWidth="1"/>
    <col min="3855" max="3855" width="3.28515625" style="4" customWidth="1"/>
    <col min="3856" max="3856" width="3.140625" style="4" customWidth="1"/>
    <col min="3857" max="3860" width="6.7109375" style="4" customWidth="1"/>
    <col min="3861" max="3861" width="5.5703125" style="4" customWidth="1"/>
    <col min="3862" max="3879" width="6.7109375" style="4" customWidth="1"/>
    <col min="3880" max="3901" width="11.42578125" style="4" customWidth="1"/>
    <col min="3902" max="4096" width="11.42578125" style="4"/>
    <col min="4097" max="4097" width="36.7109375" style="4" customWidth="1"/>
    <col min="4098" max="4098" width="4.7109375" style="4" bestFit="1" customWidth="1"/>
    <col min="4099" max="4099" width="14.42578125" style="4" customWidth="1"/>
    <col min="4100" max="4100" width="13.7109375" style="4" customWidth="1"/>
    <col min="4101" max="4101" width="35.28515625" style="4" customWidth="1"/>
    <col min="4102" max="4102" width="11.5703125" style="4" customWidth="1"/>
    <col min="4103" max="4103" width="9.28515625" style="4" customWidth="1"/>
    <col min="4104" max="4104" width="5.85546875" style="4" customWidth="1"/>
    <col min="4105" max="4108" width="2.85546875" style="4" customWidth="1"/>
    <col min="4109" max="4109" width="6.28515625" style="4" customWidth="1"/>
    <col min="4110" max="4110" width="3.42578125" style="4" customWidth="1"/>
    <col min="4111" max="4111" width="3.28515625" style="4" customWidth="1"/>
    <col min="4112" max="4112" width="3.140625" style="4" customWidth="1"/>
    <col min="4113" max="4116" width="6.7109375" style="4" customWidth="1"/>
    <col min="4117" max="4117" width="5.5703125" style="4" customWidth="1"/>
    <col min="4118" max="4135" width="6.7109375" style="4" customWidth="1"/>
    <col min="4136" max="4157" width="11.42578125" style="4" customWidth="1"/>
    <col min="4158" max="4352" width="11.42578125" style="4"/>
    <col min="4353" max="4353" width="36.7109375" style="4" customWidth="1"/>
    <col min="4354" max="4354" width="4.7109375" style="4" bestFit="1" customWidth="1"/>
    <col min="4355" max="4355" width="14.42578125" style="4" customWidth="1"/>
    <col min="4356" max="4356" width="13.7109375" style="4" customWidth="1"/>
    <col min="4357" max="4357" width="35.28515625" style="4" customWidth="1"/>
    <col min="4358" max="4358" width="11.5703125" style="4" customWidth="1"/>
    <col min="4359" max="4359" width="9.28515625" style="4" customWidth="1"/>
    <col min="4360" max="4360" width="5.85546875" style="4" customWidth="1"/>
    <col min="4361" max="4364" width="2.85546875" style="4" customWidth="1"/>
    <col min="4365" max="4365" width="6.28515625" style="4" customWidth="1"/>
    <col min="4366" max="4366" width="3.42578125" style="4" customWidth="1"/>
    <col min="4367" max="4367" width="3.28515625" style="4" customWidth="1"/>
    <col min="4368" max="4368" width="3.140625" style="4" customWidth="1"/>
    <col min="4369" max="4372" width="6.7109375" style="4" customWidth="1"/>
    <col min="4373" max="4373" width="5.5703125" style="4" customWidth="1"/>
    <col min="4374" max="4391" width="6.7109375" style="4" customWidth="1"/>
    <col min="4392" max="4413" width="11.42578125" style="4" customWidth="1"/>
    <col min="4414" max="4608" width="11.42578125" style="4"/>
    <col min="4609" max="4609" width="36.7109375" style="4" customWidth="1"/>
    <col min="4610" max="4610" width="4.7109375" style="4" bestFit="1" customWidth="1"/>
    <col min="4611" max="4611" width="14.42578125" style="4" customWidth="1"/>
    <col min="4612" max="4612" width="13.7109375" style="4" customWidth="1"/>
    <col min="4613" max="4613" width="35.28515625" style="4" customWidth="1"/>
    <col min="4614" max="4614" width="11.5703125" style="4" customWidth="1"/>
    <col min="4615" max="4615" width="9.28515625" style="4" customWidth="1"/>
    <col min="4616" max="4616" width="5.85546875" style="4" customWidth="1"/>
    <col min="4617" max="4620" width="2.85546875" style="4" customWidth="1"/>
    <col min="4621" max="4621" width="6.28515625" style="4" customWidth="1"/>
    <col min="4622" max="4622" width="3.42578125" style="4" customWidth="1"/>
    <col min="4623" max="4623" width="3.28515625" style="4" customWidth="1"/>
    <col min="4624" max="4624" width="3.140625" style="4" customWidth="1"/>
    <col min="4625" max="4628" width="6.7109375" style="4" customWidth="1"/>
    <col min="4629" max="4629" width="5.5703125" style="4" customWidth="1"/>
    <col min="4630" max="4647" width="6.7109375" style="4" customWidth="1"/>
    <col min="4648" max="4669" width="11.42578125" style="4" customWidth="1"/>
    <col min="4670" max="4864" width="11.42578125" style="4"/>
    <col min="4865" max="4865" width="36.7109375" style="4" customWidth="1"/>
    <col min="4866" max="4866" width="4.7109375" style="4" bestFit="1" customWidth="1"/>
    <col min="4867" max="4867" width="14.42578125" style="4" customWidth="1"/>
    <col min="4868" max="4868" width="13.7109375" style="4" customWidth="1"/>
    <col min="4869" max="4869" width="35.28515625" style="4" customWidth="1"/>
    <col min="4870" max="4870" width="11.5703125" style="4" customWidth="1"/>
    <col min="4871" max="4871" width="9.28515625" style="4" customWidth="1"/>
    <col min="4872" max="4872" width="5.85546875" style="4" customWidth="1"/>
    <col min="4873" max="4876" width="2.85546875" style="4" customWidth="1"/>
    <col min="4877" max="4877" width="6.28515625" style="4" customWidth="1"/>
    <col min="4878" max="4878" width="3.42578125" style="4" customWidth="1"/>
    <col min="4879" max="4879" width="3.28515625" style="4" customWidth="1"/>
    <col min="4880" max="4880" width="3.140625" style="4" customWidth="1"/>
    <col min="4881" max="4884" width="6.7109375" style="4" customWidth="1"/>
    <col min="4885" max="4885" width="5.5703125" style="4" customWidth="1"/>
    <col min="4886" max="4903" width="6.7109375" style="4" customWidth="1"/>
    <col min="4904" max="4925" width="11.42578125" style="4" customWidth="1"/>
    <col min="4926" max="5120" width="11.42578125" style="4"/>
    <col min="5121" max="5121" width="36.7109375" style="4" customWidth="1"/>
    <col min="5122" max="5122" width="4.7109375" style="4" bestFit="1" customWidth="1"/>
    <col min="5123" max="5123" width="14.42578125" style="4" customWidth="1"/>
    <col min="5124" max="5124" width="13.7109375" style="4" customWidth="1"/>
    <col min="5125" max="5125" width="35.28515625" style="4" customWidth="1"/>
    <col min="5126" max="5126" width="11.5703125" style="4" customWidth="1"/>
    <col min="5127" max="5127" width="9.28515625" style="4" customWidth="1"/>
    <col min="5128" max="5128" width="5.85546875" style="4" customWidth="1"/>
    <col min="5129" max="5132" width="2.85546875" style="4" customWidth="1"/>
    <col min="5133" max="5133" width="6.28515625" style="4" customWidth="1"/>
    <col min="5134" max="5134" width="3.42578125" style="4" customWidth="1"/>
    <col min="5135" max="5135" width="3.28515625" style="4" customWidth="1"/>
    <col min="5136" max="5136" width="3.140625" style="4" customWidth="1"/>
    <col min="5137" max="5140" width="6.7109375" style="4" customWidth="1"/>
    <col min="5141" max="5141" width="5.5703125" style="4" customWidth="1"/>
    <col min="5142" max="5159" width="6.7109375" style="4" customWidth="1"/>
    <col min="5160" max="5181" width="11.42578125" style="4" customWidth="1"/>
    <col min="5182" max="5376" width="11.42578125" style="4"/>
    <col min="5377" max="5377" width="36.7109375" style="4" customWidth="1"/>
    <col min="5378" max="5378" width="4.7109375" style="4" bestFit="1" customWidth="1"/>
    <col min="5379" max="5379" width="14.42578125" style="4" customWidth="1"/>
    <col min="5380" max="5380" width="13.7109375" style="4" customWidth="1"/>
    <col min="5381" max="5381" width="35.28515625" style="4" customWidth="1"/>
    <col min="5382" max="5382" width="11.5703125" style="4" customWidth="1"/>
    <col min="5383" max="5383" width="9.28515625" style="4" customWidth="1"/>
    <col min="5384" max="5384" width="5.85546875" style="4" customWidth="1"/>
    <col min="5385" max="5388" width="2.85546875" style="4" customWidth="1"/>
    <col min="5389" max="5389" width="6.28515625" style="4" customWidth="1"/>
    <col min="5390" max="5390" width="3.42578125" style="4" customWidth="1"/>
    <col min="5391" max="5391" width="3.28515625" style="4" customWidth="1"/>
    <col min="5392" max="5392" width="3.140625" style="4" customWidth="1"/>
    <col min="5393" max="5396" width="6.7109375" style="4" customWidth="1"/>
    <col min="5397" max="5397" width="5.5703125" style="4" customWidth="1"/>
    <col min="5398" max="5415" width="6.7109375" style="4" customWidth="1"/>
    <col min="5416" max="5437" width="11.42578125" style="4" customWidth="1"/>
    <col min="5438" max="5632" width="11.42578125" style="4"/>
    <col min="5633" max="5633" width="36.7109375" style="4" customWidth="1"/>
    <col min="5634" max="5634" width="4.7109375" style="4" bestFit="1" customWidth="1"/>
    <col min="5635" max="5635" width="14.42578125" style="4" customWidth="1"/>
    <col min="5636" max="5636" width="13.7109375" style="4" customWidth="1"/>
    <col min="5637" max="5637" width="35.28515625" style="4" customWidth="1"/>
    <col min="5638" max="5638" width="11.5703125" style="4" customWidth="1"/>
    <col min="5639" max="5639" width="9.28515625" style="4" customWidth="1"/>
    <col min="5640" max="5640" width="5.85546875" style="4" customWidth="1"/>
    <col min="5641" max="5644" width="2.85546875" style="4" customWidth="1"/>
    <col min="5645" max="5645" width="6.28515625" style="4" customWidth="1"/>
    <col min="5646" max="5646" width="3.42578125" style="4" customWidth="1"/>
    <col min="5647" max="5647" width="3.28515625" style="4" customWidth="1"/>
    <col min="5648" max="5648" width="3.140625" style="4" customWidth="1"/>
    <col min="5649" max="5652" width="6.7109375" style="4" customWidth="1"/>
    <col min="5653" max="5653" width="5.5703125" style="4" customWidth="1"/>
    <col min="5654" max="5671" width="6.7109375" style="4" customWidth="1"/>
    <col min="5672" max="5693" width="11.42578125" style="4" customWidth="1"/>
    <col min="5694" max="5888" width="11.42578125" style="4"/>
    <col min="5889" max="5889" width="36.7109375" style="4" customWidth="1"/>
    <col min="5890" max="5890" width="4.7109375" style="4" bestFit="1" customWidth="1"/>
    <col min="5891" max="5891" width="14.42578125" style="4" customWidth="1"/>
    <col min="5892" max="5892" width="13.7109375" style="4" customWidth="1"/>
    <col min="5893" max="5893" width="35.28515625" style="4" customWidth="1"/>
    <col min="5894" max="5894" width="11.5703125" style="4" customWidth="1"/>
    <col min="5895" max="5895" width="9.28515625" style="4" customWidth="1"/>
    <col min="5896" max="5896" width="5.85546875" style="4" customWidth="1"/>
    <col min="5897" max="5900" width="2.85546875" style="4" customWidth="1"/>
    <col min="5901" max="5901" width="6.28515625" style="4" customWidth="1"/>
    <col min="5902" max="5902" width="3.42578125" style="4" customWidth="1"/>
    <col min="5903" max="5903" width="3.28515625" style="4" customWidth="1"/>
    <col min="5904" max="5904" width="3.140625" style="4" customWidth="1"/>
    <col min="5905" max="5908" width="6.7109375" style="4" customWidth="1"/>
    <col min="5909" max="5909" width="5.5703125" style="4" customWidth="1"/>
    <col min="5910" max="5927" width="6.7109375" style="4" customWidth="1"/>
    <col min="5928" max="5949" width="11.42578125" style="4" customWidth="1"/>
    <col min="5950" max="6144" width="11.42578125" style="4"/>
    <col min="6145" max="6145" width="36.7109375" style="4" customWidth="1"/>
    <col min="6146" max="6146" width="4.7109375" style="4" bestFit="1" customWidth="1"/>
    <col min="6147" max="6147" width="14.42578125" style="4" customWidth="1"/>
    <col min="6148" max="6148" width="13.7109375" style="4" customWidth="1"/>
    <col min="6149" max="6149" width="35.28515625" style="4" customWidth="1"/>
    <col min="6150" max="6150" width="11.5703125" style="4" customWidth="1"/>
    <col min="6151" max="6151" width="9.28515625" style="4" customWidth="1"/>
    <col min="6152" max="6152" width="5.85546875" style="4" customWidth="1"/>
    <col min="6153" max="6156" width="2.85546875" style="4" customWidth="1"/>
    <col min="6157" max="6157" width="6.28515625" style="4" customWidth="1"/>
    <col min="6158" max="6158" width="3.42578125" style="4" customWidth="1"/>
    <col min="6159" max="6159" width="3.28515625" style="4" customWidth="1"/>
    <col min="6160" max="6160" width="3.140625" style="4" customWidth="1"/>
    <col min="6161" max="6164" width="6.7109375" style="4" customWidth="1"/>
    <col min="6165" max="6165" width="5.5703125" style="4" customWidth="1"/>
    <col min="6166" max="6183" width="6.7109375" style="4" customWidth="1"/>
    <col min="6184" max="6205" width="11.42578125" style="4" customWidth="1"/>
    <col min="6206" max="6400" width="11.42578125" style="4"/>
    <col min="6401" max="6401" width="36.7109375" style="4" customWidth="1"/>
    <col min="6402" max="6402" width="4.7109375" style="4" bestFit="1" customWidth="1"/>
    <col min="6403" max="6403" width="14.42578125" style="4" customWidth="1"/>
    <col min="6404" max="6404" width="13.7109375" style="4" customWidth="1"/>
    <col min="6405" max="6405" width="35.28515625" style="4" customWidth="1"/>
    <col min="6406" max="6406" width="11.5703125" style="4" customWidth="1"/>
    <col min="6407" max="6407" width="9.28515625" style="4" customWidth="1"/>
    <col min="6408" max="6408" width="5.85546875" style="4" customWidth="1"/>
    <col min="6409" max="6412" width="2.85546875" style="4" customWidth="1"/>
    <col min="6413" max="6413" width="6.28515625" style="4" customWidth="1"/>
    <col min="6414" max="6414" width="3.42578125" style="4" customWidth="1"/>
    <col min="6415" max="6415" width="3.28515625" style="4" customWidth="1"/>
    <col min="6416" max="6416" width="3.140625" style="4" customWidth="1"/>
    <col min="6417" max="6420" width="6.7109375" style="4" customWidth="1"/>
    <col min="6421" max="6421" width="5.5703125" style="4" customWidth="1"/>
    <col min="6422" max="6439" width="6.7109375" style="4" customWidth="1"/>
    <col min="6440" max="6461" width="11.42578125" style="4" customWidth="1"/>
    <col min="6462" max="6656" width="11.42578125" style="4"/>
    <col min="6657" max="6657" width="36.7109375" style="4" customWidth="1"/>
    <col min="6658" max="6658" width="4.7109375" style="4" bestFit="1" customWidth="1"/>
    <col min="6659" max="6659" width="14.42578125" style="4" customWidth="1"/>
    <col min="6660" max="6660" width="13.7109375" style="4" customWidth="1"/>
    <col min="6661" max="6661" width="35.28515625" style="4" customWidth="1"/>
    <col min="6662" max="6662" width="11.5703125" style="4" customWidth="1"/>
    <col min="6663" max="6663" width="9.28515625" style="4" customWidth="1"/>
    <col min="6664" max="6664" width="5.85546875" style="4" customWidth="1"/>
    <col min="6665" max="6668" width="2.85546875" style="4" customWidth="1"/>
    <col min="6669" max="6669" width="6.28515625" style="4" customWidth="1"/>
    <col min="6670" max="6670" width="3.42578125" style="4" customWidth="1"/>
    <col min="6671" max="6671" width="3.28515625" style="4" customWidth="1"/>
    <col min="6672" max="6672" width="3.140625" style="4" customWidth="1"/>
    <col min="6673" max="6676" width="6.7109375" style="4" customWidth="1"/>
    <col min="6677" max="6677" width="5.5703125" style="4" customWidth="1"/>
    <col min="6678" max="6695" width="6.7109375" style="4" customWidth="1"/>
    <col min="6696" max="6717" width="11.42578125" style="4" customWidth="1"/>
    <col min="6718" max="6912" width="11.42578125" style="4"/>
    <col min="6913" max="6913" width="36.7109375" style="4" customWidth="1"/>
    <col min="6914" max="6914" width="4.7109375" style="4" bestFit="1" customWidth="1"/>
    <col min="6915" max="6915" width="14.42578125" style="4" customWidth="1"/>
    <col min="6916" max="6916" width="13.7109375" style="4" customWidth="1"/>
    <col min="6917" max="6917" width="35.28515625" style="4" customWidth="1"/>
    <col min="6918" max="6918" width="11.5703125" style="4" customWidth="1"/>
    <col min="6919" max="6919" width="9.28515625" style="4" customWidth="1"/>
    <col min="6920" max="6920" width="5.85546875" style="4" customWidth="1"/>
    <col min="6921" max="6924" width="2.85546875" style="4" customWidth="1"/>
    <col min="6925" max="6925" width="6.28515625" style="4" customWidth="1"/>
    <col min="6926" max="6926" width="3.42578125" style="4" customWidth="1"/>
    <col min="6927" max="6927" width="3.28515625" style="4" customWidth="1"/>
    <col min="6928" max="6928" width="3.140625" style="4" customWidth="1"/>
    <col min="6929" max="6932" width="6.7109375" style="4" customWidth="1"/>
    <col min="6933" max="6933" width="5.5703125" style="4" customWidth="1"/>
    <col min="6934" max="6951" width="6.7109375" style="4" customWidth="1"/>
    <col min="6952" max="6973" width="11.42578125" style="4" customWidth="1"/>
    <col min="6974" max="7168" width="11.42578125" style="4"/>
    <col min="7169" max="7169" width="36.7109375" style="4" customWidth="1"/>
    <col min="7170" max="7170" width="4.7109375" style="4" bestFit="1" customWidth="1"/>
    <col min="7171" max="7171" width="14.42578125" style="4" customWidth="1"/>
    <col min="7172" max="7172" width="13.7109375" style="4" customWidth="1"/>
    <col min="7173" max="7173" width="35.28515625" style="4" customWidth="1"/>
    <col min="7174" max="7174" width="11.5703125" style="4" customWidth="1"/>
    <col min="7175" max="7175" width="9.28515625" style="4" customWidth="1"/>
    <col min="7176" max="7176" width="5.85546875" style="4" customWidth="1"/>
    <col min="7177" max="7180" width="2.85546875" style="4" customWidth="1"/>
    <col min="7181" max="7181" width="6.28515625" style="4" customWidth="1"/>
    <col min="7182" max="7182" width="3.42578125" style="4" customWidth="1"/>
    <col min="7183" max="7183" width="3.28515625" style="4" customWidth="1"/>
    <col min="7184" max="7184" width="3.140625" style="4" customWidth="1"/>
    <col min="7185" max="7188" width="6.7109375" style="4" customWidth="1"/>
    <col min="7189" max="7189" width="5.5703125" style="4" customWidth="1"/>
    <col min="7190" max="7207" width="6.7109375" style="4" customWidth="1"/>
    <col min="7208" max="7229" width="11.42578125" style="4" customWidth="1"/>
    <col min="7230" max="7424" width="11.42578125" style="4"/>
    <col min="7425" max="7425" width="36.7109375" style="4" customWidth="1"/>
    <col min="7426" max="7426" width="4.7109375" style="4" bestFit="1" customWidth="1"/>
    <col min="7427" max="7427" width="14.42578125" style="4" customWidth="1"/>
    <col min="7428" max="7428" width="13.7109375" style="4" customWidth="1"/>
    <col min="7429" max="7429" width="35.28515625" style="4" customWidth="1"/>
    <col min="7430" max="7430" width="11.5703125" style="4" customWidth="1"/>
    <col min="7431" max="7431" width="9.28515625" style="4" customWidth="1"/>
    <col min="7432" max="7432" width="5.85546875" style="4" customWidth="1"/>
    <col min="7433" max="7436" width="2.85546875" style="4" customWidth="1"/>
    <col min="7437" max="7437" width="6.28515625" style="4" customWidth="1"/>
    <col min="7438" max="7438" width="3.42578125" style="4" customWidth="1"/>
    <col min="7439" max="7439" width="3.28515625" style="4" customWidth="1"/>
    <col min="7440" max="7440" width="3.140625" style="4" customWidth="1"/>
    <col min="7441" max="7444" width="6.7109375" style="4" customWidth="1"/>
    <col min="7445" max="7445" width="5.5703125" style="4" customWidth="1"/>
    <col min="7446" max="7463" width="6.7109375" style="4" customWidth="1"/>
    <col min="7464" max="7485" width="11.42578125" style="4" customWidth="1"/>
    <col min="7486" max="7680" width="11.42578125" style="4"/>
    <col min="7681" max="7681" width="36.7109375" style="4" customWidth="1"/>
    <col min="7682" max="7682" width="4.7109375" style="4" bestFit="1" customWidth="1"/>
    <col min="7683" max="7683" width="14.42578125" style="4" customWidth="1"/>
    <col min="7684" max="7684" width="13.7109375" style="4" customWidth="1"/>
    <col min="7685" max="7685" width="35.28515625" style="4" customWidth="1"/>
    <col min="7686" max="7686" width="11.5703125" style="4" customWidth="1"/>
    <col min="7687" max="7687" width="9.28515625" style="4" customWidth="1"/>
    <col min="7688" max="7688" width="5.85546875" style="4" customWidth="1"/>
    <col min="7689" max="7692" width="2.85546875" style="4" customWidth="1"/>
    <col min="7693" max="7693" width="6.28515625" style="4" customWidth="1"/>
    <col min="7694" max="7694" width="3.42578125" style="4" customWidth="1"/>
    <col min="7695" max="7695" width="3.28515625" style="4" customWidth="1"/>
    <col min="7696" max="7696" width="3.140625" style="4" customWidth="1"/>
    <col min="7697" max="7700" width="6.7109375" style="4" customWidth="1"/>
    <col min="7701" max="7701" width="5.5703125" style="4" customWidth="1"/>
    <col min="7702" max="7719" width="6.7109375" style="4" customWidth="1"/>
    <col min="7720" max="7741" width="11.42578125" style="4" customWidth="1"/>
    <col min="7742" max="7936" width="11.42578125" style="4"/>
    <col min="7937" max="7937" width="36.7109375" style="4" customWidth="1"/>
    <col min="7938" max="7938" width="4.7109375" style="4" bestFit="1" customWidth="1"/>
    <col min="7939" max="7939" width="14.42578125" style="4" customWidth="1"/>
    <col min="7940" max="7940" width="13.7109375" style="4" customWidth="1"/>
    <col min="7941" max="7941" width="35.28515625" style="4" customWidth="1"/>
    <col min="7942" max="7942" width="11.5703125" style="4" customWidth="1"/>
    <col min="7943" max="7943" width="9.28515625" style="4" customWidth="1"/>
    <col min="7944" max="7944" width="5.85546875" style="4" customWidth="1"/>
    <col min="7945" max="7948" width="2.85546875" style="4" customWidth="1"/>
    <col min="7949" max="7949" width="6.28515625" style="4" customWidth="1"/>
    <col min="7950" max="7950" width="3.42578125" style="4" customWidth="1"/>
    <col min="7951" max="7951" width="3.28515625" style="4" customWidth="1"/>
    <col min="7952" max="7952" width="3.140625" style="4" customWidth="1"/>
    <col min="7953" max="7956" width="6.7109375" style="4" customWidth="1"/>
    <col min="7957" max="7957" width="5.5703125" style="4" customWidth="1"/>
    <col min="7958" max="7975" width="6.7109375" style="4" customWidth="1"/>
    <col min="7976" max="7997" width="11.42578125" style="4" customWidth="1"/>
    <col min="7998" max="8192" width="11.42578125" style="4"/>
    <col min="8193" max="8193" width="36.7109375" style="4" customWidth="1"/>
    <col min="8194" max="8194" width="4.7109375" style="4" bestFit="1" customWidth="1"/>
    <col min="8195" max="8195" width="14.42578125" style="4" customWidth="1"/>
    <col min="8196" max="8196" width="13.7109375" style="4" customWidth="1"/>
    <col min="8197" max="8197" width="35.28515625" style="4" customWidth="1"/>
    <col min="8198" max="8198" width="11.5703125" style="4" customWidth="1"/>
    <col min="8199" max="8199" width="9.28515625" style="4" customWidth="1"/>
    <col min="8200" max="8200" width="5.85546875" style="4" customWidth="1"/>
    <col min="8201" max="8204" width="2.85546875" style="4" customWidth="1"/>
    <col min="8205" max="8205" width="6.28515625" style="4" customWidth="1"/>
    <col min="8206" max="8206" width="3.42578125" style="4" customWidth="1"/>
    <col min="8207" max="8207" width="3.28515625" style="4" customWidth="1"/>
    <col min="8208" max="8208" width="3.140625" style="4" customWidth="1"/>
    <col min="8209" max="8212" width="6.7109375" style="4" customWidth="1"/>
    <col min="8213" max="8213" width="5.5703125" style="4" customWidth="1"/>
    <col min="8214" max="8231" width="6.7109375" style="4" customWidth="1"/>
    <col min="8232" max="8253" width="11.42578125" style="4" customWidth="1"/>
    <col min="8254" max="8448" width="11.42578125" style="4"/>
    <col min="8449" max="8449" width="36.7109375" style="4" customWidth="1"/>
    <col min="8450" max="8450" width="4.7109375" style="4" bestFit="1" customWidth="1"/>
    <col min="8451" max="8451" width="14.42578125" style="4" customWidth="1"/>
    <col min="8452" max="8452" width="13.7109375" style="4" customWidth="1"/>
    <col min="8453" max="8453" width="35.28515625" style="4" customWidth="1"/>
    <col min="8454" max="8454" width="11.5703125" style="4" customWidth="1"/>
    <col min="8455" max="8455" width="9.28515625" style="4" customWidth="1"/>
    <col min="8456" max="8456" width="5.85546875" style="4" customWidth="1"/>
    <col min="8457" max="8460" width="2.85546875" style="4" customWidth="1"/>
    <col min="8461" max="8461" width="6.28515625" style="4" customWidth="1"/>
    <col min="8462" max="8462" width="3.42578125" style="4" customWidth="1"/>
    <col min="8463" max="8463" width="3.28515625" style="4" customWidth="1"/>
    <col min="8464" max="8464" width="3.140625" style="4" customWidth="1"/>
    <col min="8465" max="8468" width="6.7109375" style="4" customWidth="1"/>
    <col min="8469" max="8469" width="5.5703125" style="4" customWidth="1"/>
    <col min="8470" max="8487" width="6.7109375" style="4" customWidth="1"/>
    <col min="8488" max="8509" width="11.42578125" style="4" customWidth="1"/>
    <col min="8510" max="8704" width="11.42578125" style="4"/>
    <col min="8705" max="8705" width="36.7109375" style="4" customWidth="1"/>
    <col min="8706" max="8706" width="4.7109375" style="4" bestFit="1" customWidth="1"/>
    <col min="8707" max="8707" width="14.42578125" style="4" customWidth="1"/>
    <col min="8708" max="8708" width="13.7109375" style="4" customWidth="1"/>
    <col min="8709" max="8709" width="35.28515625" style="4" customWidth="1"/>
    <col min="8710" max="8710" width="11.5703125" style="4" customWidth="1"/>
    <col min="8711" max="8711" width="9.28515625" style="4" customWidth="1"/>
    <col min="8712" max="8712" width="5.85546875" style="4" customWidth="1"/>
    <col min="8713" max="8716" width="2.85546875" style="4" customWidth="1"/>
    <col min="8717" max="8717" width="6.28515625" style="4" customWidth="1"/>
    <col min="8718" max="8718" width="3.42578125" style="4" customWidth="1"/>
    <col min="8719" max="8719" width="3.28515625" style="4" customWidth="1"/>
    <col min="8720" max="8720" width="3.140625" style="4" customWidth="1"/>
    <col min="8721" max="8724" width="6.7109375" style="4" customWidth="1"/>
    <col min="8725" max="8725" width="5.5703125" style="4" customWidth="1"/>
    <col min="8726" max="8743" width="6.7109375" style="4" customWidth="1"/>
    <col min="8744" max="8765" width="11.42578125" style="4" customWidth="1"/>
    <col min="8766" max="8960" width="11.42578125" style="4"/>
    <col min="8961" max="8961" width="36.7109375" style="4" customWidth="1"/>
    <col min="8962" max="8962" width="4.7109375" style="4" bestFit="1" customWidth="1"/>
    <col min="8963" max="8963" width="14.42578125" style="4" customWidth="1"/>
    <col min="8964" max="8964" width="13.7109375" style="4" customWidth="1"/>
    <col min="8965" max="8965" width="35.28515625" style="4" customWidth="1"/>
    <col min="8966" max="8966" width="11.5703125" style="4" customWidth="1"/>
    <col min="8967" max="8967" width="9.28515625" style="4" customWidth="1"/>
    <col min="8968" max="8968" width="5.85546875" style="4" customWidth="1"/>
    <col min="8969" max="8972" width="2.85546875" style="4" customWidth="1"/>
    <col min="8973" max="8973" width="6.28515625" style="4" customWidth="1"/>
    <col min="8974" max="8974" width="3.42578125" style="4" customWidth="1"/>
    <col min="8975" max="8975" width="3.28515625" style="4" customWidth="1"/>
    <col min="8976" max="8976" width="3.140625" style="4" customWidth="1"/>
    <col min="8977" max="8980" width="6.7109375" style="4" customWidth="1"/>
    <col min="8981" max="8981" width="5.5703125" style="4" customWidth="1"/>
    <col min="8982" max="8999" width="6.7109375" style="4" customWidth="1"/>
    <col min="9000" max="9021" width="11.42578125" style="4" customWidth="1"/>
    <col min="9022" max="9216" width="11.42578125" style="4"/>
    <col min="9217" max="9217" width="36.7109375" style="4" customWidth="1"/>
    <col min="9218" max="9218" width="4.7109375" style="4" bestFit="1" customWidth="1"/>
    <col min="9219" max="9219" width="14.42578125" style="4" customWidth="1"/>
    <col min="9220" max="9220" width="13.7109375" style="4" customWidth="1"/>
    <col min="9221" max="9221" width="35.28515625" style="4" customWidth="1"/>
    <col min="9222" max="9222" width="11.5703125" style="4" customWidth="1"/>
    <col min="9223" max="9223" width="9.28515625" style="4" customWidth="1"/>
    <col min="9224" max="9224" width="5.85546875" style="4" customWidth="1"/>
    <col min="9225" max="9228" width="2.85546875" style="4" customWidth="1"/>
    <col min="9229" max="9229" width="6.28515625" style="4" customWidth="1"/>
    <col min="9230" max="9230" width="3.42578125" style="4" customWidth="1"/>
    <col min="9231" max="9231" width="3.28515625" style="4" customWidth="1"/>
    <col min="9232" max="9232" width="3.140625" style="4" customWidth="1"/>
    <col min="9233" max="9236" width="6.7109375" style="4" customWidth="1"/>
    <col min="9237" max="9237" width="5.5703125" style="4" customWidth="1"/>
    <col min="9238" max="9255" width="6.7109375" style="4" customWidth="1"/>
    <col min="9256" max="9277" width="11.42578125" style="4" customWidth="1"/>
    <col min="9278" max="9472" width="11.42578125" style="4"/>
    <col min="9473" max="9473" width="36.7109375" style="4" customWidth="1"/>
    <col min="9474" max="9474" width="4.7109375" style="4" bestFit="1" customWidth="1"/>
    <col min="9475" max="9475" width="14.42578125" style="4" customWidth="1"/>
    <col min="9476" max="9476" width="13.7109375" style="4" customWidth="1"/>
    <col min="9477" max="9477" width="35.28515625" style="4" customWidth="1"/>
    <col min="9478" max="9478" width="11.5703125" style="4" customWidth="1"/>
    <col min="9479" max="9479" width="9.28515625" style="4" customWidth="1"/>
    <col min="9480" max="9480" width="5.85546875" style="4" customWidth="1"/>
    <col min="9481" max="9484" width="2.85546875" style="4" customWidth="1"/>
    <col min="9485" max="9485" width="6.28515625" style="4" customWidth="1"/>
    <col min="9486" max="9486" width="3.42578125" style="4" customWidth="1"/>
    <col min="9487" max="9487" width="3.28515625" style="4" customWidth="1"/>
    <col min="9488" max="9488" width="3.140625" style="4" customWidth="1"/>
    <col min="9489" max="9492" width="6.7109375" style="4" customWidth="1"/>
    <col min="9493" max="9493" width="5.5703125" style="4" customWidth="1"/>
    <col min="9494" max="9511" width="6.7109375" style="4" customWidth="1"/>
    <col min="9512" max="9533" width="11.42578125" style="4" customWidth="1"/>
    <col min="9534" max="9728" width="11.42578125" style="4"/>
    <col min="9729" max="9729" width="36.7109375" style="4" customWidth="1"/>
    <col min="9730" max="9730" width="4.7109375" style="4" bestFit="1" customWidth="1"/>
    <col min="9731" max="9731" width="14.42578125" style="4" customWidth="1"/>
    <col min="9732" max="9732" width="13.7109375" style="4" customWidth="1"/>
    <col min="9733" max="9733" width="35.28515625" style="4" customWidth="1"/>
    <col min="9734" max="9734" width="11.5703125" style="4" customWidth="1"/>
    <col min="9735" max="9735" width="9.28515625" style="4" customWidth="1"/>
    <col min="9736" max="9736" width="5.85546875" style="4" customWidth="1"/>
    <col min="9737" max="9740" width="2.85546875" style="4" customWidth="1"/>
    <col min="9741" max="9741" width="6.28515625" style="4" customWidth="1"/>
    <col min="9742" max="9742" width="3.42578125" style="4" customWidth="1"/>
    <col min="9743" max="9743" width="3.28515625" style="4" customWidth="1"/>
    <col min="9744" max="9744" width="3.140625" style="4" customWidth="1"/>
    <col min="9745" max="9748" width="6.7109375" style="4" customWidth="1"/>
    <col min="9749" max="9749" width="5.5703125" style="4" customWidth="1"/>
    <col min="9750" max="9767" width="6.7109375" style="4" customWidth="1"/>
    <col min="9768" max="9789" width="11.42578125" style="4" customWidth="1"/>
    <col min="9790" max="9984" width="11.42578125" style="4"/>
    <col min="9985" max="9985" width="36.7109375" style="4" customWidth="1"/>
    <col min="9986" max="9986" width="4.7109375" style="4" bestFit="1" customWidth="1"/>
    <col min="9987" max="9987" width="14.42578125" style="4" customWidth="1"/>
    <col min="9988" max="9988" width="13.7109375" style="4" customWidth="1"/>
    <col min="9989" max="9989" width="35.28515625" style="4" customWidth="1"/>
    <col min="9990" max="9990" width="11.5703125" style="4" customWidth="1"/>
    <col min="9991" max="9991" width="9.28515625" style="4" customWidth="1"/>
    <col min="9992" max="9992" width="5.85546875" style="4" customWidth="1"/>
    <col min="9993" max="9996" width="2.85546875" style="4" customWidth="1"/>
    <col min="9997" max="9997" width="6.28515625" style="4" customWidth="1"/>
    <col min="9998" max="9998" width="3.42578125" style="4" customWidth="1"/>
    <col min="9999" max="9999" width="3.28515625" style="4" customWidth="1"/>
    <col min="10000" max="10000" width="3.140625" style="4" customWidth="1"/>
    <col min="10001" max="10004" width="6.7109375" style="4" customWidth="1"/>
    <col min="10005" max="10005" width="5.5703125" style="4" customWidth="1"/>
    <col min="10006" max="10023" width="6.7109375" style="4" customWidth="1"/>
    <col min="10024" max="10045" width="11.42578125" style="4" customWidth="1"/>
    <col min="10046" max="10240" width="11.42578125" style="4"/>
    <col min="10241" max="10241" width="36.7109375" style="4" customWidth="1"/>
    <col min="10242" max="10242" width="4.7109375" style="4" bestFit="1" customWidth="1"/>
    <col min="10243" max="10243" width="14.42578125" style="4" customWidth="1"/>
    <col min="10244" max="10244" width="13.7109375" style="4" customWidth="1"/>
    <col min="10245" max="10245" width="35.28515625" style="4" customWidth="1"/>
    <col min="10246" max="10246" width="11.5703125" style="4" customWidth="1"/>
    <col min="10247" max="10247" width="9.28515625" style="4" customWidth="1"/>
    <col min="10248" max="10248" width="5.85546875" style="4" customWidth="1"/>
    <col min="10249" max="10252" width="2.85546875" style="4" customWidth="1"/>
    <col min="10253" max="10253" width="6.28515625" style="4" customWidth="1"/>
    <col min="10254" max="10254" width="3.42578125" style="4" customWidth="1"/>
    <col min="10255" max="10255" width="3.28515625" style="4" customWidth="1"/>
    <col min="10256" max="10256" width="3.140625" style="4" customWidth="1"/>
    <col min="10257" max="10260" width="6.7109375" style="4" customWidth="1"/>
    <col min="10261" max="10261" width="5.5703125" style="4" customWidth="1"/>
    <col min="10262" max="10279" width="6.7109375" style="4" customWidth="1"/>
    <col min="10280" max="10301" width="11.42578125" style="4" customWidth="1"/>
    <col min="10302" max="10496" width="11.42578125" style="4"/>
    <col min="10497" max="10497" width="36.7109375" style="4" customWidth="1"/>
    <col min="10498" max="10498" width="4.7109375" style="4" bestFit="1" customWidth="1"/>
    <col min="10499" max="10499" width="14.42578125" style="4" customWidth="1"/>
    <col min="10500" max="10500" width="13.7109375" style="4" customWidth="1"/>
    <col min="10501" max="10501" width="35.28515625" style="4" customWidth="1"/>
    <col min="10502" max="10502" width="11.5703125" style="4" customWidth="1"/>
    <col min="10503" max="10503" width="9.28515625" style="4" customWidth="1"/>
    <col min="10504" max="10504" width="5.85546875" style="4" customWidth="1"/>
    <col min="10505" max="10508" width="2.85546875" style="4" customWidth="1"/>
    <col min="10509" max="10509" width="6.28515625" style="4" customWidth="1"/>
    <col min="10510" max="10510" width="3.42578125" style="4" customWidth="1"/>
    <col min="10511" max="10511" width="3.28515625" style="4" customWidth="1"/>
    <col min="10512" max="10512" width="3.140625" style="4" customWidth="1"/>
    <col min="10513" max="10516" width="6.7109375" style="4" customWidth="1"/>
    <col min="10517" max="10517" width="5.5703125" style="4" customWidth="1"/>
    <col min="10518" max="10535" width="6.7109375" style="4" customWidth="1"/>
    <col min="10536" max="10557" width="11.42578125" style="4" customWidth="1"/>
    <col min="10558" max="10752" width="11.42578125" style="4"/>
    <col min="10753" max="10753" width="36.7109375" style="4" customWidth="1"/>
    <col min="10754" max="10754" width="4.7109375" style="4" bestFit="1" customWidth="1"/>
    <col min="10755" max="10755" width="14.42578125" style="4" customWidth="1"/>
    <col min="10756" max="10756" width="13.7109375" style="4" customWidth="1"/>
    <col min="10757" max="10757" width="35.28515625" style="4" customWidth="1"/>
    <col min="10758" max="10758" width="11.5703125" style="4" customWidth="1"/>
    <col min="10759" max="10759" width="9.28515625" style="4" customWidth="1"/>
    <col min="10760" max="10760" width="5.85546875" style="4" customWidth="1"/>
    <col min="10761" max="10764" width="2.85546875" style="4" customWidth="1"/>
    <col min="10765" max="10765" width="6.28515625" style="4" customWidth="1"/>
    <col min="10766" max="10766" width="3.42578125" style="4" customWidth="1"/>
    <col min="10767" max="10767" width="3.28515625" style="4" customWidth="1"/>
    <col min="10768" max="10768" width="3.140625" style="4" customWidth="1"/>
    <col min="10769" max="10772" width="6.7109375" style="4" customWidth="1"/>
    <col min="10773" max="10773" width="5.5703125" style="4" customWidth="1"/>
    <col min="10774" max="10791" width="6.7109375" style="4" customWidth="1"/>
    <col min="10792" max="10813" width="11.42578125" style="4" customWidth="1"/>
    <col min="10814" max="11008" width="11.42578125" style="4"/>
    <col min="11009" max="11009" width="36.7109375" style="4" customWidth="1"/>
    <col min="11010" max="11010" width="4.7109375" style="4" bestFit="1" customWidth="1"/>
    <col min="11011" max="11011" width="14.42578125" style="4" customWidth="1"/>
    <col min="11012" max="11012" width="13.7109375" style="4" customWidth="1"/>
    <col min="11013" max="11013" width="35.28515625" style="4" customWidth="1"/>
    <col min="11014" max="11014" width="11.5703125" style="4" customWidth="1"/>
    <col min="11015" max="11015" width="9.28515625" style="4" customWidth="1"/>
    <col min="11016" max="11016" width="5.85546875" style="4" customWidth="1"/>
    <col min="11017" max="11020" width="2.85546875" style="4" customWidth="1"/>
    <col min="11021" max="11021" width="6.28515625" style="4" customWidth="1"/>
    <col min="11022" max="11022" width="3.42578125" style="4" customWidth="1"/>
    <col min="11023" max="11023" width="3.28515625" style="4" customWidth="1"/>
    <col min="11024" max="11024" width="3.140625" style="4" customWidth="1"/>
    <col min="11025" max="11028" width="6.7109375" style="4" customWidth="1"/>
    <col min="11029" max="11029" width="5.5703125" style="4" customWidth="1"/>
    <col min="11030" max="11047" width="6.7109375" style="4" customWidth="1"/>
    <col min="11048" max="11069" width="11.42578125" style="4" customWidth="1"/>
    <col min="11070" max="11264" width="11.42578125" style="4"/>
    <col min="11265" max="11265" width="36.7109375" style="4" customWidth="1"/>
    <col min="11266" max="11266" width="4.7109375" style="4" bestFit="1" customWidth="1"/>
    <col min="11267" max="11267" width="14.42578125" style="4" customWidth="1"/>
    <col min="11268" max="11268" width="13.7109375" style="4" customWidth="1"/>
    <col min="11269" max="11269" width="35.28515625" style="4" customWidth="1"/>
    <col min="11270" max="11270" width="11.5703125" style="4" customWidth="1"/>
    <col min="11271" max="11271" width="9.28515625" style="4" customWidth="1"/>
    <col min="11272" max="11272" width="5.85546875" style="4" customWidth="1"/>
    <col min="11273" max="11276" width="2.85546875" style="4" customWidth="1"/>
    <col min="11277" max="11277" width="6.28515625" style="4" customWidth="1"/>
    <col min="11278" max="11278" width="3.42578125" style="4" customWidth="1"/>
    <col min="11279" max="11279" width="3.28515625" style="4" customWidth="1"/>
    <col min="11280" max="11280" width="3.140625" style="4" customWidth="1"/>
    <col min="11281" max="11284" width="6.7109375" style="4" customWidth="1"/>
    <col min="11285" max="11285" width="5.5703125" style="4" customWidth="1"/>
    <col min="11286" max="11303" width="6.7109375" style="4" customWidth="1"/>
    <col min="11304" max="11325" width="11.42578125" style="4" customWidth="1"/>
    <col min="11326" max="11520" width="11.42578125" style="4"/>
    <col min="11521" max="11521" width="36.7109375" style="4" customWidth="1"/>
    <col min="11522" max="11522" width="4.7109375" style="4" bestFit="1" customWidth="1"/>
    <col min="11523" max="11523" width="14.42578125" style="4" customWidth="1"/>
    <col min="11524" max="11524" width="13.7109375" style="4" customWidth="1"/>
    <col min="11525" max="11525" width="35.28515625" style="4" customWidth="1"/>
    <col min="11526" max="11526" width="11.5703125" style="4" customWidth="1"/>
    <col min="11527" max="11527" width="9.28515625" style="4" customWidth="1"/>
    <col min="11528" max="11528" width="5.85546875" style="4" customWidth="1"/>
    <col min="11529" max="11532" width="2.85546875" style="4" customWidth="1"/>
    <col min="11533" max="11533" width="6.28515625" style="4" customWidth="1"/>
    <col min="11534" max="11534" width="3.42578125" style="4" customWidth="1"/>
    <col min="11535" max="11535" width="3.28515625" style="4" customWidth="1"/>
    <col min="11536" max="11536" width="3.140625" style="4" customWidth="1"/>
    <col min="11537" max="11540" width="6.7109375" style="4" customWidth="1"/>
    <col min="11541" max="11541" width="5.5703125" style="4" customWidth="1"/>
    <col min="11542" max="11559" width="6.7109375" style="4" customWidth="1"/>
    <col min="11560" max="11581" width="11.42578125" style="4" customWidth="1"/>
    <col min="11582" max="11776" width="11.42578125" style="4"/>
    <col min="11777" max="11777" width="36.7109375" style="4" customWidth="1"/>
    <col min="11778" max="11778" width="4.7109375" style="4" bestFit="1" customWidth="1"/>
    <col min="11779" max="11779" width="14.42578125" style="4" customWidth="1"/>
    <col min="11780" max="11780" width="13.7109375" style="4" customWidth="1"/>
    <col min="11781" max="11781" width="35.28515625" style="4" customWidth="1"/>
    <col min="11782" max="11782" width="11.5703125" style="4" customWidth="1"/>
    <col min="11783" max="11783" width="9.28515625" style="4" customWidth="1"/>
    <col min="11784" max="11784" width="5.85546875" style="4" customWidth="1"/>
    <col min="11785" max="11788" width="2.85546875" style="4" customWidth="1"/>
    <col min="11789" max="11789" width="6.28515625" style="4" customWidth="1"/>
    <col min="11790" max="11790" width="3.42578125" style="4" customWidth="1"/>
    <col min="11791" max="11791" width="3.28515625" style="4" customWidth="1"/>
    <col min="11792" max="11792" width="3.140625" style="4" customWidth="1"/>
    <col min="11793" max="11796" width="6.7109375" style="4" customWidth="1"/>
    <col min="11797" max="11797" width="5.5703125" style="4" customWidth="1"/>
    <col min="11798" max="11815" width="6.7109375" style="4" customWidth="1"/>
    <col min="11816" max="11837" width="11.42578125" style="4" customWidth="1"/>
    <col min="11838" max="12032" width="11.42578125" style="4"/>
    <col min="12033" max="12033" width="36.7109375" style="4" customWidth="1"/>
    <col min="12034" max="12034" width="4.7109375" style="4" bestFit="1" customWidth="1"/>
    <col min="12035" max="12035" width="14.42578125" style="4" customWidth="1"/>
    <col min="12036" max="12036" width="13.7109375" style="4" customWidth="1"/>
    <col min="12037" max="12037" width="35.28515625" style="4" customWidth="1"/>
    <col min="12038" max="12038" width="11.5703125" style="4" customWidth="1"/>
    <col min="12039" max="12039" width="9.28515625" style="4" customWidth="1"/>
    <col min="12040" max="12040" width="5.85546875" style="4" customWidth="1"/>
    <col min="12041" max="12044" width="2.85546875" style="4" customWidth="1"/>
    <col min="12045" max="12045" width="6.28515625" style="4" customWidth="1"/>
    <col min="12046" max="12046" width="3.42578125" style="4" customWidth="1"/>
    <col min="12047" max="12047" width="3.28515625" style="4" customWidth="1"/>
    <col min="12048" max="12048" width="3.140625" style="4" customWidth="1"/>
    <col min="12049" max="12052" width="6.7109375" style="4" customWidth="1"/>
    <col min="12053" max="12053" width="5.5703125" style="4" customWidth="1"/>
    <col min="12054" max="12071" width="6.7109375" style="4" customWidth="1"/>
    <col min="12072" max="12093" width="11.42578125" style="4" customWidth="1"/>
    <col min="12094" max="12288" width="11.42578125" style="4"/>
    <col min="12289" max="12289" width="36.7109375" style="4" customWidth="1"/>
    <col min="12290" max="12290" width="4.7109375" style="4" bestFit="1" customWidth="1"/>
    <col min="12291" max="12291" width="14.42578125" style="4" customWidth="1"/>
    <col min="12292" max="12292" width="13.7109375" style="4" customWidth="1"/>
    <col min="12293" max="12293" width="35.28515625" style="4" customWidth="1"/>
    <col min="12294" max="12294" width="11.5703125" style="4" customWidth="1"/>
    <col min="12295" max="12295" width="9.28515625" style="4" customWidth="1"/>
    <col min="12296" max="12296" width="5.85546875" style="4" customWidth="1"/>
    <col min="12297" max="12300" width="2.85546875" style="4" customWidth="1"/>
    <col min="12301" max="12301" width="6.28515625" style="4" customWidth="1"/>
    <col min="12302" max="12302" width="3.42578125" style="4" customWidth="1"/>
    <col min="12303" max="12303" width="3.28515625" style="4" customWidth="1"/>
    <col min="12304" max="12304" width="3.140625" style="4" customWidth="1"/>
    <col min="12305" max="12308" width="6.7109375" style="4" customWidth="1"/>
    <col min="12309" max="12309" width="5.5703125" style="4" customWidth="1"/>
    <col min="12310" max="12327" width="6.7109375" style="4" customWidth="1"/>
    <col min="12328" max="12349" width="11.42578125" style="4" customWidth="1"/>
    <col min="12350" max="12544" width="11.42578125" style="4"/>
    <col min="12545" max="12545" width="36.7109375" style="4" customWidth="1"/>
    <col min="12546" max="12546" width="4.7109375" style="4" bestFit="1" customWidth="1"/>
    <col min="12547" max="12547" width="14.42578125" style="4" customWidth="1"/>
    <col min="12548" max="12548" width="13.7109375" style="4" customWidth="1"/>
    <col min="12549" max="12549" width="35.28515625" style="4" customWidth="1"/>
    <col min="12550" max="12550" width="11.5703125" style="4" customWidth="1"/>
    <col min="12551" max="12551" width="9.28515625" style="4" customWidth="1"/>
    <col min="12552" max="12552" width="5.85546875" style="4" customWidth="1"/>
    <col min="12553" max="12556" width="2.85546875" style="4" customWidth="1"/>
    <col min="12557" max="12557" width="6.28515625" style="4" customWidth="1"/>
    <col min="12558" max="12558" width="3.42578125" style="4" customWidth="1"/>
    <col min="12559" max="12559" width="3.28515625" style="4" customWidth="1"/>
    <col min="12560" max="12560" width="3.140625" style="4" customWidth="1"/>
    <col min="12561" max="12564" width="6.7109375" style="4" customWidth="1"/>
    <col min="12565" max="12565" width="5.5703125" style="4" customWidth="1"/>
    <col min="12566" max="12583" width="6.7109375" style="4" customWidth="1"/>
    <col min="12584" max="12605" width="11.42578125" style="4" customWidth="1"/>
    <col min="12606" max="12800" width="11.42578125" style="4"/>
    <col min="12801" max="12801" width="36.7109375" style="4" customWidth="1"/>
    <col min="12802" max="12802" width="4.7109375" style="4" bestFit="1" customWidth="1"/>
    <col min="12803" max="12803" width="14.42578125" style="4" customWidth="1"/>
    <col min="12804" max="12804" width="13.7109375" style="4" customWidth="1"/>
    <col min="12805" max="12805" width="35.28515625" style="4" customWidth="1"/>
    <col min="12806" max="12806" width="11.5703125" style="4" customWidth="1"/>
    <col min="12807" max="12807" width="9.28515625" style="4" customWidth="1"/>
    <col min="12808" max="12808" width="5.85546875" style="4" customWidth="1"/>
    <col min="12809" max="12812" width="2.85546875" style="4" customWidth="1"/>
    <col min="12813" max="12813" width="6.28515625" style="4" customWidth="1"/>
    <col min="12814" max="12814" width="3.42578125" style="4" customWidth="1"/>
    <col min="12815" max="12815" width="3.28515625" style="4" customWidth="1"/>
    <col min="12816" max="12816" width="3.140625" style="4" customWidth="1"/>
    <col min="12817" max="12820" width="6.7109375" style="4" customWidth="1"/>
    <col min="12821" max="12821" width="5.5703125" style="4" customWidth="1"/>
    <col min="12822" max="12839" width="6.7109375" style="4" customWidth="1"/>
    <col min="12840" max="12861" width="11.42578125" style="4" customWidth="1"/>
    <col min="12862" max="13056" width="11.42578125" style="4"/>
    <col min="13057" max="13057" width="36.7109375" style="4" customWidth="1"/>
    <col min="13058" max="13058" width="4.7109375" style="4" bestFit="1" customWidth="1"/>
    <col min="13059" max="13059" width="14.42578125" style="4" customWidth="1"/>
    <col min="13060" max="13060" width="13.7109375" style="4" customWidth="1"/>
    <col min="13061" max="13061" width="35.28515625" style="4" customWidth="1"/>
    <col min="13062" max="13062" width="11.5703125" style="4" customWidth="1"/>
    <col min="13063" max="13063" width="9.28515625" style="4" customWidth="1"/>
    <col min="13064" max="13064" width="5.85546875" style="4" customWidth="1"/>
    <col min="13065" max="13068" width="2.85546875" style="4" customWidth="1"/>
    <col min="13069" max="13069" width="6.28515625" style="4" customWidth="1"/>
    <col min="13070" max="13070" width="3.42578125" style="4" customWidth="1"/>
    <col min="13071" max="13071" width="3.28515625" style="4" customWidth="1"/>
    <col min="13072" max="13072" width="3.140625" style="4" customWidth="1"/>
    <col min="13073" max="13076" width="6.7109375" style="4" customWidth="1"/>
    <col min="13077" max="13077" width="5.5703125" style="4" customWidth="1"/>
    <col min="13078" max="13095" width="6.7109375" style="4" customWidth="1"/>
    <col min="13096" max="13117" width="11.42578125" style="4" customWidth="1"/>
    <col min="13118" max="13312" width="11.42578125" style="4"/>
    <col min="13313" max="13313" width="36.7109375" style="4" customWidth="1"/>
    <col min="13314" max="13314" width="4.7109375" style="4" bestFit="1" customWidth="1"/>
    <col min="13315" max="13315" width="14.42578125" style="4" customWidth="1"/>
    <col min="13316" max="13316" width="13.7109375" style="4" customWidth="1"/>
    <col min="13317" max="13317" width="35.28515625" style="4" customWidth="1"/>
    <col min="13318" max="13318" width="11.5703125" style="4" customWidth="1"/>
    <col min="13319" max="13319" width="9.28515625" style="4" customWidth="1"/>
    <col min="13320" max="13320" width="5.85546875" style="4" customWidth="1"/>
    <col min="13321" max="13324" width="2.85546875" style="4" customWidth="1"/>
    <col min="13325" max="13325" width="6.28515625" style="4" customWidth="1"/>
    <col min="13326" max="13326" width="3.42578125" style="4" customWidth="1"/>
    <col min="13327" max="13327" width="3.28515625" style="4" customWidth="1"/>
    <col min="13328" max="13328" width="3.140625" style="4" customWidth="1"/>
    <col min="13329" max="13332" width="6.7109375" style="4" customWidth="1"/>
    <col min="13333" max="13333" width="5.5703125" style="4" customWidth="1"/>
    <col min="13334" max="13351" width="6.7109375" style="4" customWidth="1"/>
    <col min="13352" max="13373" width="11.42578125" style="4" customWidth="1"/>
    <col min="13374" max="13568" width="11.42578125" style="4"/>
    <col min="13569" max="13569" width="36.7109375" style="4" customWidth="1"/>
    <col min="13570" max="13570" width="4.7109375" style="4" bestFit="1" customWidth="1"/>
    <col min="13571" max="13571" width="14.42578125" style="4" customWidth="1"/>
    <col min="13572" max="13572" width="13.7109375" style="4" customWidth="1"/>
    <col min="13573" max="13573" width="35.28515625" style="4" customWidth="1"/>
    <col min="13574" max="13574" width="11.5703125" style="4" customWidth="1"/>
    <col min="13575" max="13575" width="9.28515625" style="4" customWidth="1"/>
    <col min="13576" max="13576" width="5.85546875" style="4" customWidth="1"/>
    <col min="13577" max="13580" width="2.85546875" style="4" customWidth="1"/>
    <col min="13581" max="13581" width="6.28515625" style="4" customWidth="1"/>
    <col min="13582" max="13582" width="3.42578125" style="4" customWidth="1"/>
    <col min="13583" max="13583" width="3.28515625" style="4" customWidth="1"/>
    <col min="13584" max="13584" width="3.140625" style="4" customWidth="1"/>
    <col min="13585" max="13588" width="6.7109375" style="4" customWidth="1"/>
    <col min="13589" max="13589" width="5.5703125" style="4" customWidth="1"/>
    <col min="13590" max="13607" width="6.7109375" style="4" customWidth="1"/>
    <col min="13608" max="13629" width="11.42578125" style="4" customWidth="1"/>
    <col min="13630" max="13824" width="11.42578125" style="4"/>
    <col min="13825" max="13825" width="36.7109375" style="4" customWidth="1"/>
    <col min="13826" max="13826" width="4.7109375" style="4" bestFit="1" customWidth="1"/>
    <col min="13827" max="13827" width="14.42578125" style="4" customWidth="1"/>
    <col min="13828" max="13828" width="13.7109375" style="4" customWidth="1"/>
    <col min="13829" max="13829" width="35.28515625" style="4" customWidth="1"/>
    <col min="13830" max="13830" width="11.5703125" style="4" customWidth="1"/>
    <col min="13831" max="13831" width="9.28515625" style="4" customWidth="1"/>
    <col min="13832" max="13832" width="5.85546875" style="4" customWidth="1"/>
    <col min="13833" max="13836" width="2.85546875" style="4" customWidth="1"/>
    <col min="13837" max="13837" width="6.28515625" style="4" customWidth="1"/>
    <col min="13838" max="13838" width="3.42578125" style="4" customWidth="1"/>
    <col min="13839" max="13839" width="3.28515625" style="4" customWidth="1"/>
    <col min="13840" max="13840" width="3.140625" style="4" customWidth="1"/>
    <col min="13841" max="13844" width="6.7109375" style="4" customWidth="1"/>
    <col min="13845" max="13845" width="5.5703125" style="4" customWidth="1"/>
    <col min="13846" max="13863" width="6.7109375" style="4" customWidth="1"/>
    <col min="13864" max="13885" width="11.42578125" style="4" customWidth="1"/>
    <col min="13886" max="14080" width="11.42578125" style="4"/>
    <col min="14081" max="14081" width="36.7109375" style="4" customWidth="1"/>
    <col min="14082" max="14082" width="4.7109375" style="4" bestFit="1" customWidth="1"/>
    <col min="14083" max="14083" width="14.42578125" style="4" customWidth="1"/>
    <col min="14084" max="14084" width="13.7109375" style="4" customWidth="1"/>
    <col min="14085" max="14085" width="35.28515625" style="4" customWidth="1"/>
    <col min="14086" max="14086" width="11.5703125" style="4" customWidth="1"/>
    <col min="14087" max="14087" width="9.28515625" style="4" customWidth="1"/>
    <col min="14088" max="14088" width="5.85546875" style="4" customWidth="1"/>
    <col min="14089" max="14092" width="2.85546875" style="4" customWidth="1"/>
    <col min="14093" max="14093" width="6.28515625" style="4" customWidth="1"/>
    <col min="14094" max="14094" width="3.42578125" style="4" customWidth="1"/>
    <col min="14095" max="14095" width="3.28515625" style="4" customWidth="1"/>
    <col min="14096" max="14096" width="3.140625" style="4" customWidth="1"/>
    <col min="14097" max="14100" width="6.7109375" style="4" customWidth="1"/>
    <col min="14101" max="14101" width="5.5703125" style="4" customWidth="1"/>
    <col min="14102" max="14119" width="6.7109375" style="4" customWidth="1"/>
    <col min="14120" max="14141" width="11.42578125" style="4" customWidth="1"/>
    <col min="14142" max="14336" width="11.42578125" style="4"/>
    <col min="14337" max="14337" width="36.7109375" style="4" customWidth="1"/>
    <col min="14338" max="14338" width="4.7109375" style="4" bestFit="1" customWidth="1"/>
    <col min="14339" max="14339" width="14.42578125" style="4" customWidth="1"/>
    <col min="14340" max="14340" width="13.7109375" style="4" customWidth="1"/>
    <col min="14341" max="14341" width="35.28515625" style="4" customWidth="1"/>
    <col min="14342" max="14342" width="11.5703125" style="4" customWidth="1"/>
    <col min="14343" max="14343" width="9.28515625" style="4" customWidth="1"/>
    <col min="14344" max="14344" width="5.85546875" style="4" customWidth="1"/>
    <col min="14345" max="14348" width="2.85546875" style="4" customWidth="1"/>
    <col min="14349" max="14349" width="6.28515625" style="4" customWidth="1"/>
    <col min="14350" max="14350" width="3.42578125" style="4" customWidth="1"/>
    <col min="14351" max="14351" width="3.28515625" style="4" customWidth="1"/>
    <col min="14352" max="14352" width="3.140625" style="4" customWidth="1"/>
    <col min="14353" max="14356" width="6.7109375" style="4" customWidth="1"/>
    <col min="14357" max="14357" width="5.5703125" style="4" customWidth="1"/>
    <col min="14358" max="14375" width="6.7109375" style="4" customWidth="1"/>
    <col min="14376" max="14397" width="11.42578125" style="4" customWidth="1"/>
    <col min="14398" max="14592" width="11.42578125" style="4"/>
    <col min="14593" max="14593" width="36.7109375" style="4" customWidth="1"/>
    <col min="14594" max="14594" width="4.7109375" style="4" bestFit="1" customWidth="1"/>
    <col min="14595" max="14595" width="14.42578125" style="4" customWidth="1"/>
    <col min="14596" max="14596" width="13.7109375" style="4" customWidth="1"/>
    <col min="14597" max="14597" width="35.28515625" style="4" customWidth="1"/>
    <col min="14598" max="14598" width="11.5703125" style="4" customWidth="1"/>
    <col min="14599" max="14599" width="9.28515625" style="4" customWidth="1"/>
    <col min="14600" max="14600" width="5.85546875" style="4" customWidth="1"/>
    <col min="14601" max="14604" width="2.85546875" style="4" customWidth="1"/>
    <col min="14605" max="14605" width="6.28515625" style="4" customWidth="1"/>
    <col min="14606" max="14606" width="3.42578125" style="4" customWidth="1"/>
    <col min="14607" max="14607" width="3.28515625" style="4" customWidth="1"/>
    <col min="14608" max="14608" width="3.140625" style="4" customWidth="1"/>
    <col min="14609" max="14612" width="6.7109375" style="4" customWidth="1"/>
    <col min="14613" max="14613" width="5.5703125" style="4" customWidth="1"/>
    <col min="14614" max="14631" width="6.7109375" style="4" customWidth="1"/>
    <col min="14632" max="14653" width="11.42578125" style="4" customWidth="1"/>
    <col min="14654" max="14848" width="11.42578125" style="4"/>
    <col min="14849" max="14849" width="36.7109375" style="4" customWidth="1"/>
    <col min="14850" max="14850" width="4.7109375" style="4" bestFit="1" customWidth="1"/>
    <col min="14851" max="14851" width="14.42578125" style="4" customWidth="1"/>
    <col min="14852" max="14852" width="13.7109375" style="4" customWidth="1"/>
    <col min="14853" max="14853" width="35.28515625" style="4" customWidth="1"/>
    <col min="14854" max="14854" width="11.5703125" style="4" customWidth="1"/>
    <col min="14855" max="14855" width="9.28515625" style="4" customWidth="1"/>
    <col min="14856" max="14856" width="5.85546875" style="4" customWidth="1"/>
    <col min="14857" max="14860" width="2.85546875" style="4" customWidth="1"/>
    <col min="14861" max="14861" width="6.28515625" style="4" customWidth="1"/>
    <col min="14862" max="14862" width="3.42578125" style="4" customWidth="1"/>
    <col min="14863" max="14863" width="3.28515625" style="4" customWidth="1"/>
    <col min="14864" max="14864" width="3.140625" style="4" customWidth="1"/>
    <col min="14865" max="14868" width="6.7109375" style="4" customWidth="1"/>
    <col min="14869" max="14869" width="5.5703125" style="4" customWidth="1"/>
    <col min="14870" max="14887" width="6.7109375" style="4" customWidth="1"/>
    <col min="14888" max="14909" width="11.42578125" style="4" customWidth="1"/>
    <col min="14910" max="15104" width="11.42578125" style="4"/>
    <col min="15105" max="15105" width="36.7109375" style="4" customWidth="1"/>
    <col min="15106" max="15106" width="4.7109375" style="4" bestFit="1" customWidth="1"/>
    <col min="15107" max="15107" width="14.42578125" style="4" customWidth="1"/>
    <col min="15108" max="15108" width="13.7109375" style="4" customWidth="1"/>
    <col min="15109" max="15109" width="35.28515625" style="4" customWidth="1"/>
    <col min="15110" max="15110" width="11.5703125" style="4" customWidth="1"/>
    <col min="15111" max="15111" width="9.28515625" style="4" customWidth="1"/>
    <col min="15112" max="15112" width="5.85546875" style="4" customWidth="1"/>
    <col min="15113" max="15116" width="2.85546875" style="4" customWidth="1"/>
    <col min="15117" max="15117" width="6.28515625" style="4" customWidth="1"/>
    <col min="15118" max="15118" width="3.42578125" style="4" customWidth="1"/>
    <col min="15119" max="15119" width="3.28515625" style="4" customWidth="1"/>
    <col min="15120" max="15120" width="3.140625" style="4" customWidth="1"/>
    <col min="15121" max="15124" width="6.7109375" style="4" customWidth="1"/>
    <col min="15125" max="15125" width="5.5703125" style="4" customWidth="1"/>
    <col min="15126" max="15143" width="6.7109375" style="4" customWidth="1"/>
    <col min="15144" max="15165" width="11.42578125" style="4" customWidth="1"/>
    <col min="15166" max="15360" width="11.42578125" style="4"/>
    <col min="15361" max="15361" width="36.7109375" style="4" customWidth="1"/>
    <col min="15362" max="15362" width="4.7109375" style="4" bestFit="1" customWidth="1"/>
    <col min="15363" max="15363" width="14.42578125" style="4" customWidth="1"/>
    <col min="15364" max="15364" width="13.7109375" style="4" customWidth="1"/>
    <col min="15365" max="15365" width="35.28515625" style="4" customWidth="1"/>
    <col min="15366" max="15366" width="11.5703125" style="4" customWidth="1"/>
    <col min="15367" max="15367" width="9.28515625" style="4" customWidth="1"/>
    <col min="15368" max="15368" width="5.85546875" style="4" customWidth="1"/>
    <col min="15369" max="15372" width="2.85546875" style="4" customWidth="1"/>
    <col min="15373" max="15373" width="6.28515625" style="4" customWidth="1"/>
    <col min="15374" max="15374" width="3.42578125" style="4" customWidth="1"/>
    <col min="15375" max="15375" width="3.28515625" style="4" customWidth="1"/>
    <col min="15376" max="15376" width="3.140625" style="4" customWidth="1"/>
    <col min="15377" max="15380" width="6.7109375" style="4" customWidth="1"/>
    <col min="15381" max="15381" width="5.5703125" style="4" customWidth="1"/>
    <col min="15382" max="15399" width="6.7109375" style="4" customWidth="1"/>
    <col min="15400" max="15421" width="11.42578125" style="4" customWidth="1"/>
    <col min="15422" max="15616" width="11.42578125" style="4"/>
    <col min="15617" max="15617" width="36.7109375" style="4" customWidth="1"/>
    <col min="15618" max="15618" width="4.7109375" style="4" bestFit="1" customWidth="1"/>
    <col min="15619" max="15619" width="14.42578125" style="4" customWidth="1"/>
    <col min="15620" max="15620" width="13.7109375" style="4" customWidth="1"/>
    <col min="15621" max="15621" width="35.28515625" style="4" customWidth="1"/>
    <col min="15622" max="15622" width="11.5703125" style="4" customWidth="1"/>
    <col min="15623" max="15623" width="9.28515625" style="4" customWidth="1"/>
    <col min="15624" max="15624" width="5.85546875" style="4" customWidth="1"/>
    <col min="15625" max="15628" width="2.85546875" style="4" customWidth="1"/>
    <col min="15629" max="15629" width="6.28515625" style="4" customWidth="1"/>
    <col min="15630" max="15630" width="3.42578125" style="4" customWidth="1"/>
    <col min="15631" max="15631" width="3.28515625" style="4" customWidth="1"/>
    <col min="15632" max="15632" width="3.140625" style="4" customWidth="1"/>
    <col min="15633" max="15636" width="6.7109375" style="4" customWidth="1"/>
    <col min="15637" max="15637" width="5.5703125" style="4" customWidth="1"/>
    <col min="15638" max="15655" width="6.7109375" style="4" customWidth="1"/>
    <col min="15656" max="15677" width="11.42578125" style="4" customWidth="1"/>
    <col min="15678" max="15872" width="11.42578125" style="4"/>
    <col min="15873" max="15873" width="36.7109375" style="4" customWidth="1"/>
    <col min="15874" max="15874" width="4.7109375" style="4" bestFit="1" customWidth="1"/>
    <col min="15875" max="15875" width="14.42578125" style="4" customWidth="1"/>
    <col min="15876" max="15876" width="13.7109375" style="4" customWidth="1"/>
    <col min="15877" max="15877" width="35.28515625" style="4" customWidth="1"/>
    <col min="15878" max="15878" width="11.5703125" style="4" customWidth="1"/>
    <col min="15879" max="15879" width="9.28515625" style="4" customWidth="1"/>
    <col min="15880" max="15880" width="5.85546875" style="4" customWidth="1"/>
    <col min="15881" max="15884" width="2.85546875" style="4" customWidth="1"/>
    <col min="15885" max="15885" width="6.28515625" style="4" customWidth="1"/>
    <col min="15886" max="15886" width="3.42578125" style="4" customWidth="1"/>
    <col min="15887" max="15887" width="3.28515625" style="4" customWidth="1"/>
    <col min="15888" max="15888" width="3.140625" style="4" customWidth="1"/>
    <col min="15889" max="15892" width="6.7109375" style="4" customWidth="1"/>
    <col min="15893" max="15893" width="5.5703125" style="4" customWidth="1"/>
    <col min="15894" max="15911" width="6.7109375" style="4" customWidth="1"/>
    <col min="15912" max="15933" width="11.42578125" style="4" customWidth="1"/>
    <col min="15934" max="16128" width="11.42578125" style="4"/>
    <col min="16129" max="16129" width="36.7109375" style="4" customWidth="1"/>
    <col min="16130" max="16130" width="4.7109375" style="4" bestFit="1" customWidth="1"/>
    <col min="16131" max="16131" width="14.42578125" style="4" customWidth="1"/>
    <col min="16132" max="16132" width="13.7109375" style="4" customWidth="1"/>
    <col min="16133" max="16133" width="35.28515625" style="4" customWidth="1"/>
    <col min="16134" max="16134" width="11.5703125" style="4" customWidth="1"/>
    <col min="16135" max="16135" width="9.28515625" style="4" customWidth="1"/>
    <col min="16136" max="16136" width="5.85546875" style="4" customWidth="1"/>
    <col min="16137" max="16140" width="2.85546875" style="4" customWidth="1"/>
    <col min="16141" max="16141" width="6.28515625" style="4" customWidth="1"/>
    <col min="16142" max="16142" width="3.42578125" style="4" customWidth="1"/>
    <col min="16143" max="16143" width="3.28515625" style="4" customWidth="1"/>
    <col min="16144" max="16144" width="3.140625" style="4" customWidth="1"/>
    <col min="16145" max="16148" width="6.7109375" style="4" customWidth="1"/>
    <col min="16149" max="16149" width="5.5703125" style="4" customWidth="1"/>
    <col min="16150" max="16167" width="6.7109375" style="4" customWidth="1"/>
    <col min="16168" max="16189" width="11.42578125" style="4" customWidth="1"/>
    <col min="16190" max="16384" width="11.42578125" style="4"/>
  </cols>
  <sheetData>
    <row r="1" spans="1:15" ht="76.900000000000006" customHeight="1"/>
    <row r="2" spans="1:15" s="130" customFormat="1" ht="41.45" customHeight="1">
      <c r="A2" s="126"/>
      <c r="B2" s="127"/>
      <c r="C2" s="99"/>
      <c r="D2" s="99"/>
      <c r="E2" s="128"/>
      <c r="F2" s="126"/>
      <c r="G2" s="129"/>
      <c r="H2" s="126"/>
      <c r="M2" s="126"/>
    </row>
    <row r="3" spans="1:15" s="133" customFormat="1" ht="30" customHeight="1">
      <c r="A3" s="520" t="str">
        <f>IF($C$15=1,"Ermittlung Schnittgrößen und Spannungen",M3)</f>
        <v>Ermittlung Schnittgrößen und Spannungen</v>
      </c>
      <c r="B3" s="520"/>
      <c r="C3" s="520"/>
      <c r="D3" s="520"/>
      <c r="E3" s="520"/>
      <c r="F3" s="131"/>
      <c r="G3" s="131"/>
      <c r="H3" s="520" t="s">
        <v>341</v>
      </c>
      <c r="I3" s="520"/>
      <c r="J3" s="520"/>
      <c r="K3" s="520"/>
      <c r="L3" s="520"/>
      <c r="M3" s="132" t="s">
        <v>342</v>
      </c>
      <c r="N3" s="132"/>
      <c r="O3" s="132"/>
    </row>
    <row r="4" spans="1:15" s="133" customFormat="1" ht="30" customHeight="1">
      <c r="A4" s="521" t="str">
        <f>IF($C$15=1,H4,M4)</f>
        <v>von Sandwichbauteilen nach DIN EN 14509</v>
      </c>
      <c r="B4" s="521"/>
      <c r="C4" s="521"/>
      <c r="D4" s="521"/>
      <c r="E4" s="521"/>
      <c r="F4" s="131"/>
      <c r="G4" s="131"/>
      <c r="H4" s="521" t="s">
        <v>390</v>
      </c>
      <c r="I4" s="521"/>
      <c r="J4" s="521"/>
      <c r="K4" s="521"/>
      <c r="L4" s="521"/>
      <c r="M4" s="134" t="s">
        <v>391</v>
      </c>
      <c r="N4" s="134"/>
      <c r="O4" s="134"/>
    </row>
    <row r="5" spans="1:15" s="130" customFormat="1" ht="26.45" customHeight="1">
      <c r="A5" s="126"/>
      <c r="B5" s="127"/>
      <c r="C5" s="99"/>
      <c r="D5" s="99"/>
      <c r="E5" s="128"/>
      <c r="F5" s="126"/>
      <c r="G5" s="129"/>
      <c r="H5" s="126"/>
      <c r="M5" s="126"/>
    </row>
    <row r="6" spans="1:15" s="130" customFormat="1">
      <c r="B6" s="135"/>
      <c r="C6" s="99"/>
      <c r="D6" s="99"/>
      <c r="E6" s="128"/>
      <c r="F6" s="129"/>
      <c r="G6" s="129"/>
    </row>
    <row r="7" spans="1:15" s="130" customFormat="1">
      <c r="A7" s="2" t="str">
        <f>IF($C$15=1,H7,M7)</f>
        <v>Voraussetzungen</v>
      </c>
      <c r="B7" s="136"/>
      <c r="C7" s="130" t="str">
        <f t="shared" ref="C7:C13" si="0">IF($C$15=1,J7,O7)</f>
        <v>- beidseitig ebene bzw. quasi-ebene Deckschichten</v>
      </c>
      <c r="D7" s="99"/>
      <c r="F7" s="129"/>
      <c r="G7" s="129"/>
      <c r="H7" s="137" t="s">
        <v>177</v>
      </c>
      <c r="I7" s="137"/>
      <c r="J7" s="138" t="str">
        <f>"- beidseitig ebene bzw. quasi-ebene Deckschichten"</f>
        <v>- beidseitig ebene bzw. quasi-ebene Deckschichten</v>
      </c>
      <c r="K7" s="137"/>
      <c r="L7" s="137"/>
      <c r="M7" s="137" t="s">
        <v>2</v>
      </c>
      <c r="O7" s="130" t="str">
        <f>"- flat or lightly profiled facing on both sides"</f>
        <v>- flat or lightly profiled facing on both sides</v>
      </c>
    </row>
    <row r="8" spans="1:15" s="130" customFormat="1">
      <c r="B8" s="135"/>
      <c r="C8" s="130" t="str">
        <f t="shared" si="0"/>
        <v>- ein Feld oder zwei Felder mit gleichen Stützweiten</v>
      </c>
      <c r="D8" s="99"/>
      <c r="F8" s="129"/>
      <c r="G8" s="129"/>
      <c r="J8" s="138" t="str">
        <f>"- ein Feld oder zwei Felder mit gleichen Stützweiten"</f>
        <v>- ein Feld oder zwei Felder mit gleichen Stützweiten</v>
      </c>
      <c r="O8" s="130" t="str">
        <f>"- single span or two spans with eausl span width"</f>
        <v>- single span or two spans with eausl span width</v>
      </c>
    </row>
    <row r="9" spans="1:15" s="130" customFormat="1">
      <c r="B9" s="135"/>
      <c r="C9" s="130" t="str">
        <f t="shared" si="0"/>
        <v>- Bezeichnungen nach ECCS-Recommendations for Sandwich-Panels</v>
      </c>
      <c r="D9" s="99"/>
      <c r="F9" s="129"/>
      <c r="G9" s="129"/>
      <c r="J9" s="138" t="str">
        <f>"- Bezeichnungen nach ECCS-Recommendations for Sandwich-Panels"</f>
        <v>- Bezeichnungen nach ECCS-Recommendations for Sandwich-Panels</v>
      </c>
      <c r="O9" s="130" t="str">
        <f>"- notations according to ECCS-Recommendations for Sandwichpanels"</f>
        <v>- notations according to ECCS-Recommendations for Sandwichpanels</v>
      </c>
    </row>
    <row r="10" spans="1:15" s="130" customFormat="1">
      <c r="B10" s="135"/>
      <c r="C10" s="130" t="str">
        <f t="shared" si="0"/>
        <v xml:space="preserve">  (Bericht 23.10.2000)</v>
      </c>
      <c r="D10" s="99"/>
      <c r="F10" s="129"/>
      <c r="G10" s="129"/>
      <c r="J10" s="138" t="str">
        <f>"  (Bericht 23.10.2000)"</f>
        <v xml:space="preserve">  (Bericht 23.10.2000)</v>
      </c>
      <c r="O10" s="130" t="str">
        <f>"- report from 23.10.2000"</f>
        <v>- report from 23.10.2000</v>
      </c>
    </row>
    <row r="11" spans="1:15" s="130" customFormat="1">
      <c r="B11" s="135"/>
      <c r="C11" s="130" t="str">
        <f t="shared" si="0"/>
        <v>- Berechnungsbreite B = 1 m = 1000 mm</v>
      </c>
      <c r="D11" s="99"/>
      <c r="F11" s="129"/>
      <c r="G11" s="129"/>
      <c r="J11" s="138" t="str">
        <f>"- Berechnungsbreite B = 1 m = 1000 mm"</f>
        <v>- Berechnungsbreite B = 1 m = 1000 mm</v>
      </c>
      <c r="O11" s="130" t="str">
        <f>"- width for calculation B = 1 m = 1000 mm"</f>
        <v>- width for calculation B = 1 m = 1000 mm</v>
      </c>
    </row>
    <row r="12" spans="1:15" s="130" customFormat="1">
      <c r="B12" s="135"/>
      <c r="C12" s="130" t="str">
        <f t="shared" si="0"/>
        <v>- analytische (genaue) Lösung für Schnittgrößen</v>
      </c>
      <c r="D12" s="99"/>
      <c r="F12" s="129"/>
      <c r="G12" s="129"/>
      <c r="J12" s="138" t="str">
        <f>"- analytische (genaue) Lösung für Schnittgrößen"</f>
        <v>- analytische (genaue) Lösung für Schnittgrößen</v>
      </c>
      <c r="O12" s="130" t="str">
        <f>"- analytic (exact) solution for the forces of inertia and the stresses"</f>
        <v>- analytic (exact) solution for the forces of inertia and the stresses</v>
      </c>
    </row>
    <row r="13" spans="1:15" s="130" customFormat="1">
      <c r="B13" s="135"/>
      <c r="C13" s="130" t="str">
        <f t="shared" si="0"/>
        <v>- Näherungslösung für Durchbiegungen am Zweifeldträger</v>
      </c>
      <c r="D13" s="99"/>
      <c r="F13" s="129"/>
      <c r="G13" s="129"/>
      <c r="J13" s="138" t="str">
        <f>"- Näherungslösung für Durchbiegungen am Zweifeldträger"</f>
        <v>- Näherungslösung für Durchbiegungen am Zweifeldträger</v>
      </c>
      <c r="O13" s="130" t="str">
        <f>"- approximate solution for defelction at two-span-panels"</f>
        <v>- approximate solution for defelction at two-span-panels</v>
      </c>
    </row>
    <row r="14" spans="1:15" s="130" customFormat="1" ht="157.15" customHeight="1">
      <c r="B14" s="135"/>
      <c r="C14" s="139"/>
      <c r="D14" s="99"/>
      <c r="E14" s="9"/>
      <c r="F14" s="129"/>
      <c r="G14" s="129"/>
    </row>
    <row r="15" spans="1:15" s="130" customFormat="1">
      <c r="A15" s="2" t="s">
        <v>3</v>
      </c>
      <c r="B15" s="31"/>
      <c r="C15" s="164">
        <f>'Eingabe - Input'!D22</f>
        <v>1</v>
      </c>
      <c r="D15" s="138"/>
      <c r="E15" s="139" t="s">
        <v>343</v>
      </c>
      <c r="F15" s="129"/>
      <c r="G15" s="129"/>
      <c r="H15" s="139" t="s">
        <v>115</v>
      </c>
    </row>
    <row r="16" spans="1:15" s="130" customFormat="1">
      <c r="A16" s="2"/>
      <c r="B16" s="31"/>
      <c r="C16" s="99"/>
      <c r="D16" s="138"/>
      <c r="E16" s="139"/>
      <c r="F16" s="129"/>
      <c r="G16" s="129"/>
    </row>
    <row r="17" spans="1:15">
      <c r="A17" s="2" t="str">
        <f t="shared" ref="A17:A21" si="1">IF($C$15=1,H17,M17)</f>
        <v>Querschnitts- und Materialkennwerte</v>
      </c>
      <c r="B17" s="31"/>
      <c r="H17" s="2" t="s">
        <v>94</v>
      </c>
      <c r="M17" s="2" t="s">
        <v>7</v>
      </c>
    </row>
    <row r="18" spans="1:15" ht="15">
      <c r="A18" s="4" t="str">
        <f t="shared" si="1"/>
        <v>Gesamtdicke</v>
      </c>
      <c r="B18" s="30" t="s">
        <v>8</v>
      </c>
      <c r="C18" s="163">
        <f>'Eingabe - Input'!D33</f>
        <v>80</v>
      </c>
      <c r="D18" s="7" t="s">
        <v>87</v>
      </c>
      <c r="H18" s="4" t="s">
        <v>10</v>
      </c>
      <c r="I18" s="4"/>
      <c r="J18" s="4"/>
      <c r="K18" s="4"/>
      <c r="L18" s="4"/>
      <c r="M18" s="17" t="s">
        <v>11</v>
      </c>
    </row>
    <row r="19" spans="1:15" ht="15.75">
      <c r="A19" s="4" t="str">
        <f t="shared" si="1"/>
        <v>Nennblechdicke außen</v>
      </c>
      <c r="B19" s="30" t="s">
        <v>344</v>
      </c>
      <c r="C19" s="163">
        <f>'Eingabe - Input'!D34</f>
        <v>0.6</v>
      </c>
      <c r="D19" s="7" t="s">
        <v>87</v>
      </c>
      <c r="H19" s="4" t="s">
        <v>12</v>
      </c>
      <c r="I19" s="4"/>
      <c r="J19" s="4"/>
      <c r="K19" s="4"/>
      <c r="L19" s="4"/>
      <c r="M19" s="17" t="s">
        <v>13</v>
      </c>
    </row>
    <row r="20" spans="1:15" ht="15.75">
      <c r="A20" s="4" t="str">
        <f t="shared" si="1"/>
        <v>Nennblechdicke innen</v>
      </c>
      <c r="B20" s="30" t="s">
        <v>345</v>
      </c>
      <c r="C20" s="163">
        <f>'Eingabe - Input'!D35</f>
        <v>0.5</v>
      </c>
      <c r="D20" s="7" t="s">
        <v>87</v>
      </c>
      <c r="H20" s="4" t="s">
        <v>27</v>
      </c>
      <c r="I20" s="4"/>
      <c r="J20" s="4"/>
      <c r="K20" s="4"/>
      <c r="L20" s="4"/>
      <c r="M20" s="17" t="s">
        <v>14</v>
      </c>
    </row>
    <row r="21" spans="1:15" ht="15">
      <c r="A21" s="4" t="str">
        <f t="shared" si="1"/>
        <v>Dicke der Zinkschicht</v>
      </c>
      <c r="C21" s="163">
        <f>'Eingabe - Input'!D36</f>
        <v>0.04</v>
      </c>
      <c r="D21" s="7" t="s">
        <v>87</v>
      </c>
      <c r="H21" s="4" t="s">
        <v>95</v>
      </c>
      <c r="I21" s="4"/>
      <c r="J21" s="4"/>
      <c r="K21" s="4"/>
      <c r="L21" s="4"/>
      <c r="M21" s="17" t="s">
        <v>5</v>
      </c>
    </row>
    <row r="23" spans="1:15">
      <c r="A23" s="140"/>
      <c r="B23" s="141"/>
      <c r="C23" s="142" t="s">
        <v>346</v>
      </c>
      <c r="D23" s="143" t="s">
        <v>347</v>
      </c>
      <c r="E23" s="144"/>
      <c r="N23" s="142" t="s">
        <v>348</v>
      </c>
      <c r="O23" s="143" t="s">
        <v>349</v>
      </c>
    </row>
    <row r="24" spans="1:15">
      <c r="A24" s="4" t="str">
        <f t="shared" ref="A24:A31" si="2">IF($C$15=1,H24,M24)</f>
        <v>Kernblechdicke</v>
      </c>
      <c r="C24" s="145">
        <f>C19-C21</f>
        <v>0.55999999999999994</v>
      </c>
      <c r="D24" s="8">
        <f>C20-C21</f>
        <v>0.46</v>
      </c>
      <c r="E24" s="4" t="s">
        <v>87</v>
      </c>
      <c r="H24" s="4" t="s">
        <v>88</v>
      </c>
      <c r="I24" s="4"/>
      <c r="J24" s="4"/>
      <c r="K24" s="4"/>
      <c r="L24" s="4"/>
      <c r="M24" s="17" t="s">
        <v>6</v>
      </c>
    </row>
    <row r="25" spans="1:15" ht="15.75">
      <c r="A25" s="4" t="str">
        <f>IF($C$15=1,H25,M25)</f>
        <v>Fläche der Deckschicht</v>
      </c>
      <c r="B25" s="30" t="s">
        <v>350</v>
      </c>
      <c r="C25" s="157">
        <f>'Eingabe - Input'!D42</f>
        <v>5.41</v>
      </c>
      <c r="D25" s="157">
        <f>'Eingabe - Input'!E42</f>
        <v>4.41</v>
      </c>
      <c r="E25" s="4" t="s">
        <v>351</v>
      </c>
      <c r="H25" s="4" t="s">
        <v>15</v>
      </c>
      <c r="I25" s="4"/>
      <c r="J25" s="4"/>
      <c r="K25" s="4"/>
      <c r="L25" s="4"/>
      <c r="M25" s="17" t="s">
        <v>16</v>
      </c>
    </row>
    <row r="26" spans="1:15" ht="15.75">
      <c r="A26" s="4" t="str">
        <f t="shared" si="2"/>
        <v>Trägheitsmoment der Deckschichten</v>
      </c>
      <c r="B26" s="146" t="s">
        <v>352</v>
      </c>
      <c r="C26" s="8">
        <v>0</v>
      </c>
      <c r="D26" s="8">
        <v>0</v>
      </c>
      <c r="E26" s="4" t="s">
        <v>353</v>
      </c>
      <c r="H26" s="4" t="s">
        <v>18</v>
      </c>
      <c r="I26" s="4"/>
      <c r="J26" s="4"/>
      <c r="K26" s="4"/>
      <c r="L26" s="4"/>
      <c r="M26" s="17" t="s">
        <v>17</v>
      </c>
    </row>
    <row r="27" spans="1:15" ht="15.75">
      <c r="A27" s="4" t="str">
        <f t="shared" si="2"/>
        <v>oberer Randabstand</v>
      </c>
      <c r="B27" s="30" t="s">
        <v>354</v>
      </c>
      <c r="C27" s="157">
        <f>'Eingabe - Input'!D44</f>
        <v>0.2</v>
      </c>
      <c r="D27" s="157">
        <f>'Eingabe - Input'!E44</f>
        <v>0.15</v>
      </c>
      <c r="E27" s="4" t="s">
        <v>87</v>
      </c>
      <c r="H27" s="4" t="s">
        <v>19</v>
      </c>
      <c r="I27" s="4"/>
      <c r="J27" s="4"/>
      <c r="K27" s="4"/>
      <c r="L27" s="4"/>
      <c r="M27" s="17" t="s">
        <v>355</v>
      </c>
    </row>
    <row r="28" spans="1:15" ht="15.75">
      <c r="A28" s="4" t="str">
        <f t="shared" si="2"/>
        <v>unterer Randabstand</v>
      </c>
      <c r="B28" s="30" t="s">
        <v>356</v>
      </c>
      <c r="C28" s="157">
        <f>'Eingabe - Input'!D45</f>
        <v>0.2</v>
      </c>
      <c r="D28" s="157">
        <f>'Eingabe - Input'!E45</f>
        <v>0.15</v>
      </c>
      <c r="E28" s="4" t="s">
        <v>87</v>
      </c>
      <c r="H28" s="4" t="s">
        <v>20</v>
      </c>
      <c r="I28" s="4"/>
      <c r="J28" s="4"/>
      <c r="K28" s="4"/>
      <c r="L28" s="4"/>
      <c r="M28" s="17" t="s">
        <v>357</v>
      </c>
    </row>
    <row r="29" spans="1:15" ht="15.75">
      <c r="A29" s="4" t="str">
        <f t="shared" si="2"/>
        <v>E-Modul</v>
      </c>
      <c r="B29" s="30" t="s">
        <v>358</v>
      </c>
      <c r="C29" s="158">
        <f>'Eingabe - Input'!D47</f>
        <v>210000</v>
      </c>
      <c r="D29" s="158">
        <f>'Eingabe - Input'!E47</f>
        <v>210000</v>
      </c>
      <c r="E29" s="4" t="s">
        <v>90</v>
      </c>
      <c r="H29" s="4" t="s">
        <v>89</v>
      </c>
      <c r="I29" s="4"/>
      <c r="J29" s="4"/>
      <c r="K29" s="4"/>
      <c r="L29" s="4"/>
      <c r="M29" s="4" t="s">
        <v>89</v>
      </c>
    </row>
    <row r="30" spans="1:15" ht="15.75">
      <c r="A30" s="4" t="str">
        <f t="shared" si="2"/>
        <v>Wärmeausdehnungskoeffizient</v>
      </c>
      <c r="B30" s="147" t="s">
        <v>359</v>
      </c>
      <c r="C30" s="158">
        <f>'Eingabe - Input'!D48</f>
        <v>1.2E-5</v>
      </c>
      <c r="D30" s="158">
        <f>'Eingabe - Input'!E48</f>
        <v>1.2E-5</v>
      </c>
      <c r="E30" s="4" t="s">
        <v>91</v>
      </c>
      <c r="H30" s="4" t="s">
        <v>22</v>
      </c>
      <c r="I30" s="4"/>
      <c r="J30" s="4"/>
      <c r="K30" s="4"/>
      <c r="L30" s="4"/>
      <c r="M30" s="17" t="s">
        <v>21</v>
      </c>
    </row>
    <row r="31" spans="1:15" ht="15.75">
      <c r="A31" s="4" t="str">
        <f t="shared" si="2"/>
        <v>Schubmodul</v>
      </c>
      <c r="B31" s="30" t="s">
        <v>360</v>
      </c>
      <c r="C31" s="159">
        <f>'Eingabe - Input'!D51</f>
        <v>8</v>
      </c>
      <c r="D31" s="148" t="s">
        <v>90</v>
      </c>
      <c r="H31" s="4" t="s">
        <v>23</v>
      </c>
      <c r="I31" s="4"/>
      <c r="J31" s="4"/>
      <c r="K31" s="4"/>
      <c r="L31" s="4"/>
      <c r="M31" s="17" t="s">
        <v>24</v>
      </c>
    </row>
    <row r="32" spans="1:15" ht="39" customHeight="1"/>
    <row r="33" spans="1:61">
      <c r="A33" s="2" t="str">
        <f t="shared" ref="A33:A38" si="3">IF($C$15=1,H33,M33)</f>
        <v>Statisches System und Grundlasten</v>
      </c>
      <c r="B33" s="31"/>
      <c r="H33" s="2" t="s">
        <v>263</v>
      </c>
      <c r="M33" s="2" t="s">
        <v>264</v>
      </c>
    </row>
    <row r="34" spans="1:61">
      <c r="A34" s="4" t="str">
        <f t="shared" si="3"/>
        <v>Anzahl Felder</v>
      </c>
      <c r="C34" s="160">
        <f>'Eingabe - Input'!M58</f>
        <v>2</v>
      </c>
      <c r="D34" s="4" t="str">
        <f>IF($C$15=1,K34,P34)</f>
        <v>Felder</v>
      </c>
      <c r="E34" s="9" t="str">
        <f>IF(AND(C34&lt;&gt;1,C34&lt;&gt;2),"Falsche Eingabe, nur 1 oder 2 Felder zulässig","")</f>
        <v/>
      </c>
      <c r="H34" s="4" t="s">
        <v>0</v>
      </c>
      <c r="K34" s="17" t="s">
        <v>96</v>
      </c>
      <c r="M34" s="17" t="s">
        <v>83</v>
      </c>
      <c r="P34" s="17" t="s">
        <v>86</v>
      </c>
    </row>
    <row r="35" spans="1:61">
      <c r="A35" s="4" t="str">
        <f t="shared" si="3"/>
        <v>Einzelstützweite</v>
      </c>
      <c r="B35" s="30" t="s">
        <v>25</v>
      </c>
      <c r="C35" s="161">
        <f>'Eingabe - Input'!M59</f>
        <v>2</v>
      </c>
      <c r="D35" s="7" t="s">
        <v>98</v>
      </c>
      <c r="E35" s="9" t="str">
        <f>IF(AND(C34=2,D26&lt;&gt;0),"Kombination nicht möglich, nachfolgende Ergebnise falsch","")</f>
        <v/>
      </c>
      <c r="H35" s="4" t="s">
        <v>26</v>
      </c>
      <c r="M35" s="17" t="s">
        <v>84</v>
      </c>
    </row>
    <row r="36" spans="1:61">
      <c r="A36" s="4" t="str">
        <f t="shared" si="3"/>
        <v>Gleichstreckenlast</v>
      </c>
      <c r="B36" s="30" t="s">
        <v>361</v>
      </c>
      <c r="C36" s="161">
        <f>'Eingabe - Input'!M57</f>
        <v>1</v>
      </c>
      <c r="D36" s="7" t="s">
        <v>97</v>
      </c>
      <c r="H36" s="4" t="s">
        <v>362</v>
      </c>
      <c r="M36" t="s">
        <v>363</v>
      </c>
    </row>
    <row r="37" spans="1:61" ht="15.75">
      <c r="A37" s="4" t="str">
        <f t="shared" si="3"/>
        <v>Temperatur außen     ULS/SLS</v>
      </c>
      <c r="B37" s="30" t="s">
        <v>364</v>
      </c>
      <c r="C37" s="162">
        <f>'Eingabe - Input'!M72</f>
        <v>80</v>
      </c>
      <c r="D37" s="165">
        <f>'Eingabe - Input'!M64</f>
        <v>65</v>
      </c>
      <c r="E37" s="7" t="s">
        <v>365</v>
      </c>
      <c r="H37" s="17" t="s">
        <v>392</v>
      </c>
      <c r="M37" s="17" t="s">
        <v>393</v>
      </c>
    </row>
    <row r="38" spans="1:61" ht="15.75">
      <c r="A38" s="4" t="str">
        <f t="shared" si="3"/>
        <v>Temperatur innen</v>
      </c>
      <c r="B38" s="30" t="s">
        <v>366</v>
      </c>
      <c r="C38" s="162">
        <f>'Eingabe - Input'!M65</f>
        <v>25</v>
      </c>
      <c r="D38" s="7" t="s">
        <v>365</v>
      </c>
      <c r="H38" s="4" t="s">
        <v>367</v>
      </c>
      <c r="M38" s="17" t="s">
        <v>368</v>
      </c>
    </row>
    <row r="39" spans="1:61" ht="39" customHeight="1"/>
    <row r="40" spans="1:61">
      <c r="A40" s="2" t="str">
        <f>IF($C$15=1,H40,M40)</f>
        <v>Gesamtelement (Hilfswerte und Zwischenergebnisse)</v>
      </c>
      <c r="B40" s="31"/>
      <c r="E40" s="2" t="str">
        <f>IF($C$15=1,L40,Q40)</f>
        <v>Erläuterungen/Formeln</v>
      </c>
      <c r="F40" s="18" t="s">
        <v>104</v>
      </c>
      <c r="G40" s="18" t="s">
        <v>101</v>
      </c>
      <c r="H40" s="2" t="s">
        <v>99</v>
      </c>
      <c r="I40" s="2"/>
      <c r="J40" s="3"/>
      <c r="K40" s="3"/>
      <c r="L40" s="2" t="s">
        <v>1</v>
      </c>
      <c r="M40" s="2" t="s">
        <v>175</v>
      </c>
      <c r="N40" s="2"/>
      <c r="O40" s="3"/>
      <c r="P40" s="3"/>
      <c r="Q40" s="2" t="s">
        <v>176</v>
      </c>
    </row>
    <row r="41" spans="1:61">
      <c r="A41" s="4" t="str">
        <f>IF($C$15=1,H41,M41)</f>
        <v>Deckschichtabstand</v>
      </c>
      <c r="B41" s="30" t="s">
        <v>28</v>
      </c>
      <c r="C41" s="8">
        <f>$C$18-$C$27-$D$28-$C$24/2-$D$24/2</f>
        <v>79.139999999999986</v>
      </c>
      <c r="D41" s="7" t="s">
        <v>87</v>
      </c>
      <c r="H41" s="4" t="s">
        <v>170</v>
      </c>
      <c r="M41" s="4" t="s">
        <v>82</v>
      </c>
    </row>
    <row r="42" spans="1:61" ht="15.75">
      <c r="A42" s="4" t="str">
        <f>IF($C$15=1,H42,M42)</f>
        <v>Kernfläche</v>
      </c>
      <c r="B42" s="30" t="s">
        <v>369</v>
      </c>
      <c r="C42" s="8">
        <f>C41*100/10</f>
        <v>791.39999999999986</v>
      </c>
      <c r="D42" s="7" t="s">
        <v>109</v>
      </c>
      <c r="H42" s="4" t="s">
        <v>171</v>
      </c>
      <c r="M42" s="4" t="s">
        <v>172</v>
      </c>
    </row>
    <row r="43" spans="1:61" ht="15.75">
      <c r="A43" s="4" t="s">
        <v>92</v>
      </c>
      <c r="B43" s="30" t="s">
        <v>30</v>
      </c>
      <c r="C43" s="149">
        <f>($C$29/10)*$C$25*($D$29/10)*$D$25*(($C$41/10)^2)/(($C$29/10)*$C$25+($D$29/10)*$D$25)</f>
        <v>3195477.4223074936</v>
      </c>
      <c r="D43" s="7" t="s">
        <v>93</v>
      </c>
      <c r="H43" s="4"/>
      <c r="M43" s="4"/>
    </row>
    <row r="44" spans="1:61" ht="15.75">
      <c r="A44" s="17" t="s">
        <v>107</v>
      </c>
      <c r="B44" s="123" t="s">
        <v>31</v>
      </c>
      <c r="C44" s="149">
        <f>C26*C29/10</f>
        <v>0</v>
      </c>
      <c r="D44" s="7" t="s">
        <v>93</v>
      </c>
    </row>
    <row r="45" spans="1:61" customFormat="1" ht="15.75">
      <c r="A45" s="17" t="s">
        <v>106</v>
      </c>
      <c r="B45" s="123" t="s">
        <v>32</v>
      </c>
      <c r="C45" s="149">
        <f>D26*D29/10</f>
        <v>0</v>
      </c>
      <c r="D45" s="7" t="s">
        <v>93</v>
      </c>
      <c r="H45" s="17"/>
      <c r="I45" s="150"/>
      <c r="J45" s="150"/>
      <c r="K45" s="150"/>
      <c r="L45" s="150"/>
      <c r="M45" s="17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</row>
    <row r="46" spans="1:61" ht="15.75">
      <c r="A46" s="17" t="s">
        <v>164</v>
      </c>
      <c r="B46" s="123" t="s">
        <v>41</v>
      </c>
      <c r="C46" s="151">
        <f>C31*C42/10</f>
        <v>633.11999999999989</v>
      </c>
      <c r="D46" s="7" t="s">
        <v>110</v>
      </c>
      <c r="F46" s="18"/>
      <c r="G46" s="18"/>
    </row>
    <row r="47" spans="1:61">
      <c r="A47" s="4" t="str">
        <f>IF($C$15=1,H47,M47)</f>
        <v>Hilfswerte und Zwischenergebnisse:</v>
      </c>
      <c r="B47" s="123" t="s">
        <v>370</v>
      </c>
      <c r="C47" s="152">
        <f>G47</f>
        <v>0.37853930798752539</v>
      </c>
      <c r="D47" s="7"/>
      <c r="E47" s="4" t="str">
        <f>IF($C$34=1,"wird nur für 2-Feld-Berechnung benötigt","")</f>
        <v/>
      </c>
      <c r="F47" s="19">
        <f>3*$C$43/($C$35*$C$35*10000*$C$46)</f>
        <v>0.37853930798752539</v>
      </c>
      <c r="G47" s="19">
        <f>3*$C$43/($C$35*$C$35*10000*$C$46)</f>
        <v>0.37853930798752539</v>
      </c>
      <c r="H47" s="17" t="s">
        <v>173</v>
      </c>
      <c r="M47" s="17" t="s">
        <v>174</v>
      </c>
    </row>
    <row r="48" spans="1:61" ht="39" customHeight="1">
      <c r="B48" s="123"/>
      <c r="C48" s="152"/>
      <c r="D48" s="7"/>
      <c r="F48" s="19"/>
      <c r="G48" s="19"/>
    </row>
    <row r="49" spans="1:61" ht="72.599999999999994" customHeight="1">
      <c r="A49" s="34"/>
      <c r="B49" s="35"/>
      <c r="C49" s="36"/>
      <c r="D49" s="37"/>
      <c r="E49" s="34"/>
      <c r="F49" s="17"/>
      <c r="G49" s="17"/>
    </row>
    <row r="50" spans="1:61" s="44" customFormat="1" ht="13.15" customHeight="1">
      <c r="A50" s="153" t="str">
        <f>IF($C$15=1,H50,M50)</f>
        <v>Schnittgrößenbezeichnungen am Querschnitt</v>
      </c>
      <c r="B50" s="39"/>
      <c r="C50" s="40"/>
      <c r="D50" s="41"/>
      <c r="E50" s="153" t="str">
        <f>IF($C$15=1,L50,Q50)</f>
        <v>Spannungsverteilung</v>
      </c>
      <c r="F50" s="42"/>
      <c r="G50" s="42"/>
      <c r="H50" s="42" t="s">
        <v>111</v>
      </c>
      <c r="I50" s="42"/>
      <c r="J50" s="42"/>
      <c r="K50" s="42"/>
      <c r="L50" s="42" t="s">
        <v>112</v>
      </c>
      <c r="M50" s="42" t="s">
        <v>113</v>
      </c>
      <c r="N50" s="42"/>
      <c r="O50" s="42"/>
      <c r="P50" s="42"/>
      <c r="Q50" s="42" t="s">
        <v>114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</row>
    <row r="51" spans="1:61" s="44" customFormat="1" ht="39" customHeight="1">
      <c r="A51" s="153"/>
      <c r="B51" s="39"/>
      <c r="C51" s="40"/>
      <c r="D51" s="41"/>
      <c r="E51" s="15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1:61">
      <c r="A52" s="154" t="str">
        <f>IF($C$15=1,H52,M52)</f>
        <v>Schnittgrößen für Gleichstreckenlast</v>
      </c>
      <c r="B52" s="31" t="s">
        <v>361</v>
      </c>
      <c r="C52" s="20">
        <f>C36</f>
        <v>1</v>
      </c>
      <c r="D52" s="12" t="s">
        <v>97</v>
      </c>
      <c r="F52" s="18" t="s">
        <v>104</v>
      </c>
      <c r="G52" s="18" t="s">
        <v>101</v>
      </c>
      <c r="H52" s="2" t="s">
        <v>43</v>
      </c>
      <c r="I52" s="2"/>
      <c r="J52" s="20"/>
      <c r="K52" s="12"/>
      <c r="L52" s="7"/>
      <c r="M52" s="139" t="s">
        <v>81</v>
      </c>
      <c r="N52" s="18"/>
      <c r="O52" s="18"/>
      <c r="P52" s="18"/>
    </row>
    <row r="53" spans="1:61" ht="15.75">
      <c r="A53" s="4" t="str">
        <f>IF($C$15=1,H53,M53)</f>
        <v>Sandwichmoment</v>
      </c>
      <c r="B53" s="30" t="s">
        <v>371</v>
      </c>
      <c r="C53" s="13">
        <f t="shared" ref="C53:C61" si="4">IF($C$34=1,F53,IF($C$34=2,G53,""))</f>
        <v>-0.36270275145793995</v>
      </c>
      <c r="D53" s="7" t="s">
        <v>100</v>
      </c>
      <c r="E53" s="4" t="str">
        <f>IF($C$15=1,L53,Q53)</f>
        <v>über Innenstütze</v>
      </c>
      <c r="F53" s="19">
        <f>$C$52*$C$35*$C$35/8</f>
        <v>0.5</v>
      </c>
      <c r="G53" s="19">
        <f>-$C$52*$C$35*$C$35/8*1/(1+C47)</f>
        <v>-0.36270275145793995</v>
      </c>
      <c r="H53" s="4" t="s">
        <v>46</v>
      </c>
      <c r="I53" s="4"/>
      <c r="J53" s="13"/>
      <c r="K53" s="7"/>
      <c r="L53" s="4" t="str">
        <f>IF($C$34=1,"in Feldmitte","über Innenstütze")</f>
        <v>über Innenstütze</v>
      </c>
      <c r="M53" s="139" t="s">
        <v>66</v>
      </c>
      <c r="N53" s="18"/>
      <c r="O53" s="18"/>
      <c r="P53" s="18"/>
      <c r="Q53" s="4" t="str">
        <f>IF($C$34=1,"at midspan","at intermediate support")</f>
        <v>at intermediate support</v>
      </c>
    </row>
    <row r="54" spans="1:61" ht="15.75">
      <c r="A54" s="4" t="str">
        <f t="shared" ref="A54:A64" si="5">IF($C$15=1,H54,M54)</f>
        <v>Deckschichtmoment</v>
      </c>
      <c r="B54" s="30" t="s">
        <v>372</v>
      </c>
      <c r="C54" s="13">
        <f t="shared" si="4"/>
        <v>0</v>
      </c>
      <c r="D54" s="7" t="s">
        <v>100</v>
      </c>
      <c r="E54" s="4" t="str">
        <f t="shared" ref="E54:E64" si="6">IF($C$15=1,L54,Q54)</f>
        <v>über Innenstütze</v>
      </c>
      <c r="F54" s="19">
        <v>0</v>
      </c>
      <c r="G54" s="19">
        <v>0</v>
      </c>
      <c r="H54" s="4" t="s">
        <v>47</v>
      </c>
      <c r="I54" s="4"/>
      <c r="J54" s="13"/>
      <c r="K54" s="7"/>
      <c r="L54" s="4" t="str">
        <f>IF($C$34=1,"in Feldmitte","über Innenstütze")</f>
        <v>über Innenstütze</v>
      </c>
      <c r="M54" s="139" t="s">
        <v>64</v>
      </c>
      <c r="N54" s="18"/>
      <c r="O54" s="18"/>
      <c r="P54" s="18"/>
      <c r="Q54" s="4" t="str">
        <f>IF($C$34=1,"at midspan","at intermediate support")</f>
        <v>at intermediate support</v>
      </c>
    </row>
    <row r="55" spans="1:61" ht="15.75">
      <c r="A55" s="4" t="str">
        <f t="shared" si="5"/>
        <v>Deckschichtmoment</v>
      </c>
      <c r="B55" s="30" t="s">
        <v>373</v>
      </c>
      <c r="C55" s="13">
        <f t="shared" si="4"/>
        <v>0</v>
      </c>
      <c r="D55" s="7" t="s">
        <v>100</v>
      </c>
      <c r="E55" s="4" t="str">
        <f t="shared" si="6"/>
        <v>über Innenstütze</v>
      </c>
      <c r="F55" s="19">
        <v>0</v>
      </c>
      <c r="G55" s="19">
        <v>0</v>
      </c>
      <c r="H55" s="4" t="s">
        <v>47</v>
      </c>
      <c r="I55" s="4"/>
      <c r="J55" s="13"/>
      <c r="K55" s="7"/>
      <c r="L55" s="4" t="str">
        <f>IF($C$34=1,"in Feldmitte","über Innenstütze")</f>
        <v>über Innenstütze</v>
      </c>
      <c r="M55" s="139" t="s">
        <v>65</v>
      </c>
      <c r="N55" s="152"/>
      <c r="O55" s="152"/>
      <c r="P55" s="152"/>
      <c r="Q55" s="4" t="str">
        <f>IF($C$34=1,"at midspan","at intermediate support")</f>
        <v>at intermediate support</v>
      </c>
    </row>
    <row r="56" spans="1:61" ht="15.75">
      <c r="A56" s="4" t="str">
        <f t="shared" si="5"/>
        <v>Querkraft in der Kernschicht</v>
      </c>
      <c r="B56" s="30" t="s">
        <v>374</v>
      </c>
      <c r="C56" s="13">
        <f t="shared" si="4"/>
        <v>1.18135137572897</v>
      </c>
      <c r="D56" s="7" t="s">
        <v>102</v>
      </c>
      <c r="E56" s="4" t="str">
        <f t="shared" si="6"/>
        <v>neben der Innenstütze</v>
      </c>
      <c r="F56" s="19">
        <f>$C$52*$C$35/2</f>
        <v>1</v>
      </c>
      <c r="G56" s="19">
        <f>$C$52*$C$35/2*(1+(1/(4*(1+C47))))</f>
        <v>1.18135137572897</v>
      </c>
      <c r="H56" s="4" t="s">
        <v>48</v>
      </c>
      <c r="I56" s="4"/>
      <c r="J56" s="13"/>
      <c r="K56" s="7"/>
      <c r="L56" s="4" t="str">
        <f>IF($C$34=1,"am Endauflager","neben der Innenstütze")</f>
        <v>neben der Innenstütze</v>
      </c>
      <c r="M56" s="119" t="s">
        <v>67</v>
      </c>
      <c r="N56" s="152"/>
      <c r="O56" s="152"/>
      <c r="P56" s="152"/>
      <c r="Q56" s="4" t="str">
        <f>IF($C$34=1,"at end support","beside the intermediate support")</f>
        <v>beside the intermediate support</v>
      </c>
    </row>
    <row r="57" spans="1:61" ht="15.75">
      <c r="A57" s="4" t="str">
        <f t="shared" si="5"/>
        <v>Querkraft in Deckschicht</v>
      </c>
      <c r="B57" s="30" t="s">
        <v>375</v>
      </c>
      <c r="C57" s="13">
        <f t="shared" si="4"/>
        <v>0</v>
      </c>
      <c r="D57" s="7" t="s">
        <v>102</v>
      </c>
      <c r="E57" s="4" t="str">
        <f t="shared" si="6"/>
        <v/>
      </c>
      <c r="F57" s="19">
        <v>0</v>
      </c>
      <c r="G57" s="19">
        <v>0</v>
      </c>
      <c r="H57" s="4" t="s">
        <v>54</v>
      </c>
      <c r="I57" s="4"/>
      <c r="J57" s="13"/>
      <c r="K57" s="7"/>
      <c r="L57" s="4" t="str">
        <f>""</f>
        <v/>
      </c>
      <c r="M57" s="119" t="s">
        <v>68</v>
      </c>
      <c r="N57" s="152"/>
      <c r="O57" s="152"/>
      <c r="P57" s="152"/>
      <c r="Q57" s="4" t="str">
        <f>""</f>
        <v/>
      </c>
    </row>
    <row r="58" spans="1:61" ht="15.75">
      <c r="A58" s="4" t="str">
        <f t="shared" si="5"/>
        <v>Querkraft in Deckschicht</v>
      </c>
      <c r="B58" s="30" t="s">
        <v>376</v>
      </c>
      <c r="C58" s="13">
        <f t="shared" si="4"/>
        <v>0</v>
      </c>
      <c r="D58" s="7" t="s">
        <v>102</v>
      </c>
      <c r="E58" s="4" t="str">
        <f t="shared" si="6"/>
        <v/>
      </c>
      <c r="F58" s="19">
        <v>0</v>
      </c>
      <c r="G58" s="19">
        <v>0</v>
      </c>
      <c r="H58" s="4" t="s">
        <v>54</v>
      </c>
      <c r="I58" s="4"/>
      <c r="J58" s="13"/>
      <c r="K58" s="7"/>
      <c r="L58" s="4" t="str">
        <f>""</f>
        <v/>
      </c>
      <c r="M58" s="119" t="s">
        <v>69</v>
      </c>
      <c r="N58" s="152"/>
      <c r="O58" s="152"/>
      <c r="P58" s="152"/>
      <c r="Q58" s="4" t="str">
        <f>""</f>
        <v/>
      </c>
    </row>
    <row r="59" spans="1:61" ht="15.75">
      <c r="A59" s="4" t="str">
        <f t="shared" si="5"/>
        <v>Endauflagerkraft</v>
      </c>
      <c r="B59" s="30" t="s">
        <v>377</v>
      </c>
      <c r="C59" s="13">
        <f t="shared" si="4"/>
        <v>0.81864862427103002</v>
      </c>
      <c r="D59" s="7" t="s">
        <v>102</v>
      </c>
      <c r="E59" s="4" t="str">
        <f t="shared" si="6"/>
        <v/>
      </c>
      <c r="F59" s="19">
        <f>F58+F57+F56</f>
        <v>1</v>
      </c>
      <c r="G59" s="19">
        <f>$C$52*$C$35-$G$56</f>
        <v>0.81864862427103002</v>
      </c>
      <c r="H59" s="4" t="s">
        <v>55</v>
      </c>
      <c r="I59" s="4"/>
      <c r="J59" s="13"/>
      <c r="K59" s="7"/>
      <c r="L59" s="4" t="str">
        <f>""</f>
        <v/>
      </c>
      <c r="M59" s="119" t="s">
        <v>70</v>
      </c>
      <c r="P59" s="152"/>
      <c r="Q59" s="4" t="str">
        <f>""</f>
        <v/>
      </c>
    </row>
    <row r="60" spans="1:61" ht="15.75">
      <c r="A60" s="4" t="str">
        <f t="shared" si="5"/>
        <v>Zwischenauflagerkraft</v>
      </c>
      <c r="B60" s="123" t="s">
        <v>53</v>
      </c>
      <c r="C60" s="13">
        <f>IF($C$34=1,"",IF($C$34=2,G60,""))</f>
        <v>2.36270275145794</v>
      </c>
      <c r="D60" s="7" t="s">
        <v>102</v>
      </c>
      <c r="E60" s="4" t="str">
        <f t="shared" si="6"/>
        <v/>
      </c>
      <c r="F60" s="19">
        <v>0</v>
      </c>
      <c r="G60" s="19">
        <f>2*$G$56</f>
        <v>2.36270275145794</v>
      </c>
      <c r="H60" s="17" t="s">
        <v>56</v>
      </c>
      <c r="J60" s="13"/>
      <c r="K60" s="7"/>
      <c r="L60" s="4" t="str">
        <f>""</f>
        <v/>
      </c>
      <c r="M60" s="139" t="s">
        <v>71</v>
      </c>
      <c r="Q60" s="4" t="str">
        <f>""</f>
        <v/>
      </c>
    </row>
    <row r="61" spans="1:61">
      <c r="A61" s="4" t="str">
        <f t="shared" si="5"/>
        <v>Durchbiegung</v>
      </c>
      <c r="B61" s="123" t="s">
        <v>378</v>
      </c>
      <c r="C61" s="13">
        <f t="shared" si="4"/>
        <v>0.11655072255253535</v>
      </c>
      <c r="D61" s="7" t="s">
        <v>103</v>
      </c>
      <c r="E61" s="4" t="str">
        <f t="shared" si="6"/>
        <v>* zwischen x = 0,375 L und x = 0,5 L</v>
      </c>
      <c r="F61" s="19">
        <f>5*$C$52/100*((100*$C$35)^4)*(1+16/5*$F$47)/(384*$C$43)</f>
        <v>0.14417027915002811</v>
      </c>
      <c r="G61" s="19">
        <f>C52/100*((C35*100)^4)*(0.26+2.625*G47+2*G47*G47)/(48*C43*(1+G47))</f>
        <v>0.11655072255253535</v>
      </c>
      <c r="H61" s="17" t="s">
        <v>57</v>
      </c>
      <c r="J61" s="13"/>
      <c r="K61" s="7"/>
      <c r="L61" s="4" t="str">
        <f>IF($C$34=1,"* in Feldmitte","* zwischen x = 0,375 L und x = 0,5 L")</f>
        <v>* zwischen x = 0,375 L und x = 0,5 L</v>
      </c>
      <c r="M61" s="139" t="s">
        <v>379</v>
      </c>
      <c r="Q61" s="4" t="str">
        <f>IF($C$34=1,"* at midspan","* between x = 0,375 L and x = 0,5 L")</f>
        <v>* between x = 0,375 L and x = 0,5 L</v>
      </c>
    </row>
    <row r="62" spans="1:61" ht="15.75">
      <c r="A62" s="4" t="str">
        <f t="shared" si="5"/>
        <v>Normalspannungen oberes Deckblech</v>
      </c>
      <c r="B62" s="147" t="s">
        <v>58</v>
      </c>
      <c r="C62" s="14">
        <f>-C53*10000/($C$41*$C$25)</f>
        <v>8.4714458492084734</v>
      </c>
      <c r="D62" s="7" t="s">
        <v>90</v>
      </c>
      <c r="E62" s="4" t="str">
        <f t="shared" si="6"/>
        <v>über Innenstütze</v>
      </c>
      <c r="F62" s="19">
        <f>-F53*10000/($C$41*$C$25)</f>
        <v>-11.678221098621645</v>
      </c>
      <c r="G62" s="19"/>
      <c r="H62" s="17" t="s">
        <v>380</v>
      </c>
      <c r="J62" s="14"/>
      <c r="K62" s="7"/>
      <c r="L62" s="4" t="str">
        <f>IF($C$34=1,"in Feldmitte","über Innenstütze")</f>
        <v>über Innenstütze</v>
      </c>
      <c r="M62" s="139" t="s">
        <v>381</v>
      </c>
      <c r="Q62" s="4" t="str">
        <f>IF($C$34=1,"at midspan","at intermediate support")</f>
        <v>at intermediate support</v>
      </c>
    </row>
    <row r="63" spans="1:61" ht="15.75">
      <c r="A63" s="4" t="str">
        <f t="shared" si="5"/>
        <v>Normalspannungen unters Deckblech</v>
      </c>
      <c r="B63" s="147" t="s">
        <v>60</v>
      </c>
      <c r="C63" s="14">
        <f>C53*10000/($C$41*$D$25)</f>
        <v>-10.392408626806766</v>
      </c>
      <c r="D63" s="7" t="s">
        <v>90</v>
      </c>
      <c r="E63" s="4" t="str">
        <f t="shared" si="6"/>
        <v>über Innenstütze</v>
      </c>
      <c r="F63" s="19">
        <f>F53*10000/($C$41*$D$25)</f>
        <v>14.32634379672179</v>
      </c>
      <c r="G63" s="19"/>
      <c r="H63" s="17" t="s">
        <v>382</v>
      </c>
      <c r="J63" s="14"/>
      <c r="K63" s="7"/>
      <c r="L63" s="4" t="str">
        <f>IF($C$34=1,"in Feldmitte","über Innenstütze")</f>
        <v>über Innenstütze</v>
      </c>
      <c r="M63" s="139" t="s">
        <v>383</v>
      </c>
      <c r="Q63" s="4" t="str">
        <f>IF($C$34=1,"at midspan","at intermediate support")</f>
        <v>at intermediate support</v>
      </c>
    </row>
    <row r="64" spans="1:61" ht="15.75">
      <c r="A64" s="4" t="str">
        <f t="shared" si="5"/>
        <v>Schubspannung im Kern</v>
      </c>
      <c r="B64" s="147" t="s">
        <v>62</v>
      </c>
      <c r="C64" s="13">
        <f>C56*10/$C$42</f>
        <v>1.4927361330919512E-2</v>
      </c>
      <c r="D64" s="7" t="s">
        <v>90</v>
      </c>
      <c r="E64" s="4" t="str">
        <f t="shared" si="6"/>
        <v>neben der Innenstütze</v>
      </c>
      <c r="F64" s="19">
        <f>F56*10/$C$42</f>
        <v>1.263583522870862E-2</v>
      </c>
      <c r="G64" s="19"/>
      <c r="H64" s="17" t="s">
        <v>63</v>
      </c>
      <c r="J64" s="13"/>
      <c r="K64" s="7"/>
      <c r="L64" s="4" t="str">
        <f>IF($C$34=1,"am Endauflager","neben der Innenstütze")</f>
        <v>neben der Innenstütze</v>
      </c>
      <c r="M64" s="139" t="s">
        <v>78</v>
      </c>
      <c r="Q64" s="4" t="str">
        <f>IF($C$34=1,"at end support","beside the intermediate support")</f>
        <v>beside the intermediate support</v>
      </c>
    </row>
    <row r="65" spans="1:62" ht="39" customHeight="1">
      <c r="A65" s="17"/>
      <c r="B65" s="123"/>
      <c r="C65" s="14"/>
      <c r="D65" s="7"/>
      <c r="F65" s="17"/>
      <c r="G65" s="17"/>
      <c r="J65" s="14"/>
      <c r="K65" s="7"/>
      <c r="L65" s="4"/>
    </row>
    <row r="66" spans="1:62" ht="15" customHeight="1">
      <c r="A66" s="154" t="str">
        <f>IF($C$15=1,I67,N67)</f>
        <v>Schnittgrößen für Temperaturdifferenz</v>
      </c>
      <c r="B66" s="155" t="s">
        <v>85</v>
      </c>
      <c r="C66" s="21">
        <f>($D$30*$C$38-$C$30*$D$37)/($C$41*10)</f>
        <v>-6.0652009097801374E-7</v>
      </c>
      <c r="D66" s="7"/>
      <c r="F66" s="17"/>
      <c r="G66" s="18" t="s">
        <v>255</v>
      </c>
      <c r="H66" s="18" t="s">
        <v>256</v>
      </c>
      <c r="J66" s="14"/>
      <c r="K66" s="7"/>
      <c r="L66" s="4"/>
    </row>
    <row r="67" spans="1:62">
      <c r="A67" s="154" t="s">
        <v>394</v>
      </c>
      <c r="B67" s="155" t="s">
        <v>85</v>
      </c>
      <c r="C67" s="21">
        <f>($D$30*$C$38-$C$30*$C$37)/($C$41*10)</f>
        <v>-8.339651250947689E-7</v>
      </c>
      <c r="D67" s="12" t="s">
        <v>108</v>
      </c>
      <c r="F67" s="18" t="s">
        <v>104</v>
      </c>
      <c r="G67" s="18" t="s">
        <v>104</v>
      </c>
      <c r="H67" s="18" t="s">
        <v>101</v>
      </c>
      <c r="I67" s="2" t="s">
        <v>80</v>
      </c>
      <c r="J67" s="2"/>
      <c r="K67" s="20"/>
      <c r="L67" s="12"/>
      <c r="M67" s="7"/>
      <c r="N67" s="139" t="s">
        <v>384</v>
      </c>
      <c r="O67" s="18"/>
      <c r="P67" s="18"/>
      <c r="Q67" s="18"/>
      <c r="BJ67" s="17"/>
    </row>
    <row r="68" spans="1:62" ht="15.75">
      <c r="A68" s="4" t="str">
        <f t="shared" ref="A68:A76" si="7">IF($C$15=1,I68,N68)</f>
        <v>Sandwichmoment</v>
      </c>
      <c r="B68" s="30" t="s">
        <v>371</v>
      </c>
      <c r="C68" s="13">
        <f>IF($C$34=1,F68,IF($C$34=2,H68,""))</f>
        <v>2.1088857376060415</v>
      </c>
      <c r="D68" s="7" t="s">
        <v>100</v>
      </c>
      <c r="E68" s="4" t="str">
        <f t="shared" ref="E68:E76" si="8">IF($C$15=1,M68,R68)</f>
        <v>über Innenstütze</v>
      </c>
      <c r="F68" s="19">
        <v>0</v>
      </c>
      <c r="G68" s="19">
        <v>0</v>
      </c>
      <c r="H68" s="19">
        <f>-3*$C$43*$C$66/(2*(1+$G$47))</f>
        <v>2.1088857376060415</v>
      </c>
      <c r="I68" s="4" t="s">
        <v>46</v>
      </c>
      <c r="J68" s="4"/>
      <c r="K68" s="13"/>
      <c r="L68" s="7"/>
      <c r="M68" s="4" t="str">
        <f>IF($C$34=1,"in Feldmitte","über Innenstütze")</f>
        <v>über Innenstütze</v>
      </c>
      <c r="N68" s="139" t="s">
        <v>66</v>
      </c>
      <c r="O68" s="18"/>
      <c r="P68" s="18"/>
      <c r="Q68" s="18"/>
      <c r="R68" s="4" t="str">
        <f>IF($C$34=1,"at midspan","at intermediate support")</f>
        <v>at intermediate support</v>
      </c>
      <c r="BJ68" s="17"/>
    </row>
    <row r="69" spans="1:62" ht="15.75">
      <c r="A69" s="4" t="str">
        <f t="shared" si="7"/>
        <v>Deckschichtmoment</v>
      </c>
      <c r="B69" s="30" t="s">
        <v>372</v>
      </c>
      <c r="C69" s="13">
        <f t="shared" ref="C69:C76" si="9">IF($C$34=1,F69,IF($C$34=2,H69,""))</f>
        <v>0</v>
      </c>
      <c r="D69" s="7" t="s">
        <v>100</v>
      </c>
      <c r="E69" s="4" t="str">
        <f t="shared" si="8"/>
        <v>über Innenstütze</v>
      </c>
      <c r="F69" s="19">
        <v>0</v>
      </c>
      <c r="G69" s="19">
        <v>0</v>
      </c>
      <c r="H69" s="19">
        <v>0</v>
      </c>
      <c r="I69" s="4" t="s">
        <v>47</v>
      </c>
      <c r="J69" s="4"/>
      <c r="K69" s="13"/>
      <c r="L69" s="7"/>
      <c r="M69" s="4" t="str">
        <f>IF($C$34=1,"in Feldmitte","über Innenstütze")</f>
        <v>über Innenstütze</v>
      </c>
      <c r="N69" s="139" t="s">
        <v>64</v>
      </c>
      <c r="O69" s="18"/>
      <c r="P69" s="18"/>
      <c r="Q69" s="18"/>
      <c r="R69" s="4" t="str">
        <f>IF($C$34=1,"at midspan","at intermediate support")</f>
        <v>at intermediate support</v>
      </c>
      <c r="BJ69" s="17"/>
    </row>
    <row r="70" spans="1:62" ht="15.75">
      <c r="A70" s="4" t="str">
        <f t="shared" si="7"/>
        <v>Deckschichtmoment</v>
      </c>
      <c r="B70" s="30" t="s">
        <v>373</v>
      </c>
      <c r="C70" s="13">
        <f t="shared" si="9"/>
        <v>0</v>
      </c>
      <c r="D70" s="7" t="s">
        <v>100</v>
      </c>
      <c r="E70" s="4" t="str">
        <f t="shared" si="8"/>
        <v>über Innenstütze</v>
      </c>
      <c r="F70" s="19">
        <v>0</v>
      </c>
      <c r="G70" s="19">
        <v>0</v>
      </c>
      <c r="H70" s="19">
        <v>0</v>
      </c>
      <c r="I70" s="4" t="s">
        <v>47</v>
      </c>
      <c r="J70" s="4"/>
      <c r="K70" s="13"/>
      <c r="L70" s="7"/>
      <c r="M70" s="4" t="str">
        <f>IF($C$34=1,"in Feldmitte","über Innenstütze")</f>
        <v>über Innenstütze</v>
      </c>
      <c r="N70" s="139" t="s">
        <v>65</v>
      </c>
      <c r="O70" s="152"/>
      <c r="P70" s="152"/>
      <c r="Q70" s="152"/>
      <c r="R70" s="4" t="str">
        <f>IF($C$34=1,"at midspan","at intermediate support")</f>
        <v>at intermediate support</v>
      </c>
      <c r="BJ70" s="17"/>
    </row>
    <row r="71" spans="1:62" ht="15.75">
      <c r="A71" s="4" t="str">
        <f t="shared" si="7"/>
        <v>Querkraft in der Kernschicht</v>
      </c>
      <c r="B71" s="30" t="s">
        <v>374</v>
      </c>
      <c r="C71" s="13">
        <f t="shared" si="9"/>
        <v>-1.0544428688030207</v>
      </c>
      <c r="D71" s="7" t="s">
        <v>102</v>
      </c>
      <c r="E71" s="4" t="str">
        <f t="shared" si="8"/>
        <v>neben der Innenstütze</v>
      </c>
      <c r="F71" s="19">
        <v>0</v>
      </c>
      <c r="G71" s="19">
        <v>0</v>
      </c>
      <c r="H71" s="19">
        <f>3*$C$43*$C$66/(2*$C$35)*(1/(1+$G$47))</f>
        <v>-1.0544428688030207</v>
      </c>
      <c r="I71" s="4" t="s">
        <v>48</v>
      </c>
      <c r="J71" s="4"/>
      <c r="K71" s="13"/>
      <c r="L71" s="7"/>
      <c r="M71" s="4" t="str">
        <f>IF($C$34=1,"am Endauflager","neben der Innenstütze")</f>
        <v>neben der Innenstütze</v>
      </c>
      <c r="N71" s="119" t="s">
        <v>67</v>
      </c>
      <c r="O71" s="152"/>
      <c r="P71" s="152"/>
      <c r="Q71" s="152"/>
      <c r="R71" s="4" t="str">
        <f>IF($C$34=1,"at end support","beside the intermediate support")</f>
        <v>beside the intermediate support</v>
      </c>
      <c r="BJ71" s="17"/>
    </row>
    <row r="72" spans="1:62" ht="15.75">
      <c r="A72" s="4" t="str">
        <f t="shared" si="7"/>
        <v>Querkraft in Deckschicht</v>
      </c>
      <c r="B72" s="30" t="s">
        <v>375</v>
      </c>
      <c r="C72" s="13">
        <f t="shared" si="9"/>
        <v>0</v>
      </c>
      <c r="D72" s="7" t="s">
        <v>102</v>
      </c>
      <c r="E72" s="4" t="str">
        <f t="shared" si="8"/>
        <v/>
      </c>
      <c r="F72" s="19">
        <v>0</v>
      </c>
      <c r="G72" s="19">
        <v>0</v>
      </c>
      <c r="H72" s="19">
        <v>0</v>
      </c>
      <c r="I72" s="4" t="s">
        <v>54</v>
      </c>
      <c r="J72" s="4"/>
      <c r="K72" s="13"/>
      <c r="L72" s="7"/>
      <c r="M72" s="4" t="str">
        <f>""</f>
        <v/>
      </c>
      <c r="N72" s="119" t="s">
        <v>68</v>
      </c>
      <c r="O72" s="152"/>
      <c r="P72" s="152"/>
      <c r="Q72" s="152"/>
      <c r="R72" s="4" t="str">
        <f>""</f>
        <v/>
      </c>
      <c r="BJ72" s="17"/>
    </row>
    <row r="73" spans="1:62" ht="15.75">
      <c r="A73" s="4" t="str">
        <f t="shared" si="7"/>
        <v>Querkraft in Deckschicht</v>
      </c>
      <c r="B73" s="30" t="s">
        <v>376</v>
      </c>
      <c r="C73" s="13">
        <f t="shared" si="9"/>
        <v>0</v>
      </c>
      <c r="D73" s="7" t="s">
        <v>102</v>
      </c>
      <c r="E73" s="4" t="str">
        <f t="shared" si="8"/>
        <v/>
      </c>
      <c r="F73" s="19">
        <v>0</v>
      </c>
      <c r="G73" s="19">
        <v>0</v>
      </c>
      <c r="H73" s="19">
        <v>0</v>
      </c>
      <c r="I73" s="4" t="s">
        <v>54</v>
      </c>
      <c r="J73" s="4"/>
      <c r="K73" s="13"/>
      <c r="L73" s="7"/>
      <c r="M73" s="4" t="str">
        <f>""</f>
        <v/>
      </c>
      <c r="N73" s="119" t="s">
        <v>69</v>
      </c>
      <c r="O73" s="152"/>
      <c r="P73" s="152"/>
      <c r="Q73" s="152"/>
      <c r="R73" s="4" t="str">
        <f>""</f>
        <v/>
      </c>
      <c r="BJ73" s="17"/>
    </row>
    <row r="74" spans="1:62" ht="15.75">
      <c r="A74" s="4" t="str">
        <f t="shared" si="7"/>
        <v>Endauflagerkraft</v>
      </c>
      <c r="B74" s="30" t="s">
        <v>377</v>
      </c>
      <c r="C74" s="13">
        <f t="shared" si="9"/>
        <v>1.0544428688030207</v>
      </c>
      <c r="D74" s="7" t="s">
        <v>102</v>
      </c>
      <c r="E74" s="4" t="str">
        <f t="shared" si="8"/>
        <v/>
      </c>
      <c r="F74" s="19">
        <v>0</v>
      </c>
      <c r="G74" s="19">
        <v>0</v>
      </c>
      <c r="H74" s="19">
        <f>-$H$75/2</f>
        <v>1.0544428688030207</v>
      </c>
      <c r="I74" s="4" t="s">
        <v>55</v>
      </c>
      <c r="J74" s="4"/>
      <c r="K74" s="13"/>
      <c r="L74" s="7"/>
      <c r="M74" s="4" t="str">
        <f>""</f>
        <v/>
      </c>
      <c r="N74" s="119" t="s">
        <v>70</v>
      </c>
      <c r="Q74" s="152"/>
      <c r="R74" s="4" t="str">
        <f>""</f>
        <v/>
      </c>
      <c r="BJ74" s="17"/>
    </row>
    <row r="75" spans="1:62" ht="15.75">
      <c r="A75" s="4" t="str">
        <f t="shared" si="7"/>
        <v>Zwischenauflagerkraft</v>
      </c>
      <c r="B75" s="123" t="s">
        <v>53</v>
      </c>
      <c r="C75" s="13">
        <f t="shared" si="9"/>
        <v>-2.1088857376060415</v>
      </c>
      <c r="D75" s="7" t="s">
        <v>102</v>
      </c>
      <c r="E75" s="4" t="str">
        <f t="shared" si="8"/>
        <v/>
      </c>
      <c r="F75" s="19">
        <v>0</v>
      </c>
      <c r="G75" s="19">
        <v>0</v>
      </c>
      <c r="H75" s="19">
        <f>2*$H$71</f>
        <v>-2.1088857376060415</v>
      </c>
      <c r="I75" s="17" t="s">
        <v>56</v>
      </c>
      <c r="K75" s="13"/>
      <c r="L75" s="7"/>
      <c r="M75" s="4" t="str">
        <f>""</f>
        <v/>
      </c>
      <c r="N75" s="139" t="s">
        <v>71</v>
      </c>
      <c r="R75" s="4" t="str">
        <f>""</f>
        <v/>
      </c>
      <c r="BJ75" s="17"/>
    </row>
    <row r="76" spans="1:62">
      <c r="A76" s="4" t="str">
        <f t="shared" si="7"/>
        <v>Durchbiegung</v>
      </c>
      <c r="B76" s="123" t="s">
        <v>378</v>
      </c>
      <c r="C76" s="13">
        <f t="shared" si="9"/>
        <v>-0.14233213048737745</v>
      </c>
      <c r="D76" s="7" t="s">
        <v>103</v>
      </c>
      <c r="E76" s="4" t="str">
        <f t="shared" si="8"/>
        <v>* ca. in Feldmitte</v>
      </c>
      <c r="F76" s="19">
        <f>$C$66*$C$35*$C$35*1000000/8</f>
        <v>-0.30326004548900687</v>
      </c>
      <c r="G76" s="19">
        <f>$C$67*$C$35*$C$35*1000000/8</f>
        <v>-0.41698256254738447</v>
      </c>
      <c r="H76" s="19">
        <f>$C$66*$C$35*$C$35*1000000*(1.089+3.96*$G$47)/(32*(1+$G$47))</f>
        <v>-0.14233213048737745</v>
      </c>
      <c r="I76" s="17" t="s">
        <v>57</v>
      </c>
      <c r="K76" s="13"/>
      <c r="L76" s="7"/>
      <c r="M76" s="4" t="str">
        <f>IF($C$34=1,"* in Feldmitte","* ca. in Feldmitte")</f>
        <v>* ca. in Feldmitte</v>
      </c>
      <c r="N76" s="139" t="s">
        <v>379</v>
      </c>
      <c r="R76" s="4" t="str">
        <f>IF($C$34=1,"* at midspan","* ca. at midspan")</f>
        <v>* ca. at midspan</v>
      </c>
      <c r="BJ76" s="17"/>
    </row>
    <row r="77" spans="1:62" ht="15.75">
      <c r="A77" s="4" t="str">
        <f>IF($C$15=1,I77,M77)</f>
        <v>Normalspannungen oberes Deckblech</v>
      </c>
      <c r="B77" s="147" t="s">
        <v>58</v>
      </c>
      <c r="C77" s="14">
        <f>-C68*10000/($C$41*$C$25)</f>
        <v>-49.256067830986289</v>
      </c>
      <c r="D77" s="7" t="s">
        <v>90</v>
      </c>
      <c r="E77" s="4" t="str">
        <f t="shared" ref="E77:E79" si="10">IF($C$15=1,L77,Q77)</f>
        <v>über Innenstütze</v>
      </c>
      <c r="F77" s="19"/>
      <c r="G77" s="19">
        <f>-G68*10000/($C$41*$C$25)</f>
        <v>0</v>
      </c>
      <c r="I77" s="17" t="s">
        <v>380</v>
      </c>
      <c r="J77" s="14"/>
      <c r="K77" s="7"/>
      <c r="L77" s="4" t="str">
        <f>IF($C$34=1,"in Feldmitte","über Innenstütze")</f>
        <v>über Innenstütze</v>
      </c>
      <c r="M77" s="139" t="s">
        <v>381</v>
      </c>
      <c r="Q77" s="4" t="str">
        <f>IF($C$34=1,"at midspan","at intermediate support")</f>
        <v>at intermediate support</v>
      </c>
    </row>
    <row r="78" spans="1:62" ht="15.75">
      <c r="A78" s="4" t="str">
        <f>IF($C$15=1,I78,M78)</f>
        <v>Normalspannungen unters Deckblech</v>
      </c>
      <c r="B78" s="147" t="s">
        <v>61</v>
      </c>
      <c r="C78" s="14">
        <f>C68*10000/($C$41*$D$25)</f>
        <v>60.425244209894743</v>
      </c>
      <c r="D78" s="7" t="s">
        <v>90</v>
      </c>
      <c r="E78" s="4" t="str">
        <f t="shared" si="10"/>
        <v>über Innenstütze</v>
      </c>
      <c r="F78" s="19"/>
      <c r="G78" s="19">
        <f>G68*10000/($C$41*$D$25)</f>
        <v>0</v>
      </c>
      <c r="I78" s="17" t="s">
        <v>382</v>
      </c>
      <c r="J78" s="14"/>
      <c r="K78" s="7"/>
      <c r="L78" s="4" t="str">
        <f>IF($C$34=1,"in Feldmitte","über Innenstütze")</f>
        <v>über Innenstütze</v>
      </c>
      <c r="M78" s="139" t="s">
        <v>385</v>
      </c>
      <c r="Q78" s="4" t="str">
        <f>IF($C$34=1,"at midspan","at intermediate support")</f>
        <v>at intermediate support</v>
      </c>
    </row>
    <row r="79" spans="1:62" ht="15.75">
      <c r="A79" s="4" t="str">
        <f>IF($C$15=1,I79,M79)</f>
        <v>Schubspannung im Kern</v>
      </c>
      <c r="B79" s="147" t="s">
        <v>62</v>
      </c>
      <c r="C79" s="13">
        <f>C71*10/$C$42</f>
        <v>-1.332376634828179E-2</v>
      </c>
      <c r="D79" s="7" t="s">
        <v>90</v>
      </c>
      <c r="E79" s="4" t="str">
        <f t="shared" si="10"/>
        <v>neben der Innenstütze</v>
      </c>
      <c r="F79" s="19"/>
      <c r="G79" s="19">
        <f>G71*10/$C$42</f>
        <v>0</v>
      </c>
      <c r="I79" s="17" t="s">
        <v>63</v>
      </c>
      <c r="J79" s="13"/>
      <c r="K79" s="7"/>
      <c r="L79" s="4" t="str">
        <f>IF($C$34=1,"am Endauflager","neben der Innenstütze")</f>
        <v>neben der Innenstütze</v>
      </c>
      <c r="M79" s="139" t="s">
        <v>78</v>
      </c>
      <c r="Q79" s="4" t="str">
        <f>IF($C$34=1,"at end support","beside the intermediate support")</f>
        <v>beside the intermediate support</v>
      </c>
    </row>
    <row r="80" spans="1:62">
      <c r="F80" s="19"/>
      <c r="G80" s="19"/>
    </row>
    <row r="81" spans="1:16">
      <c r="F81" s="17"/>
      <c r="G81" s="17"/>
    </row>
    <row r="82" spans="1:16">
      <c r="F82" s="17"/>
      <c r="G82" s="17"/>
    </row>
    <row r="83" spans="1:16">
      <c r="F83" s="17"/>
      <c r="G83" s="17"/>
    </row>
    <row r="84" spans="1:16">
      <c r="F84" s="17"/>
      <c r="G84" s="17"/>
    </row>
    <row r="85" spans="1:16">
      <c r="F85" s="17"/>
      <c r="G85" s="17"/>
    </row>
    <row r="86" spans="1:16">
      <c r="F86" s="17"/>
      <c r="G86" s="17"/>
    </row>
    <row r="87" spans="1:16" s="46" customFormat="1" ht="11.25">
      <c r="A87" s="46" t="str">
        <f t="shared" ref="A87:A94" si="11">IF($C$15=1,H87,M87)</f>
        <v>Änderungsvermerke:</v>
      </c>
      <c r="F87" s="47"/>
      <c r="G87" s="47"/>
      <c r="H87" s="46" t="s">
        <v>117</v>
      </c>
      <c r="I87" s="48"/>
      <c r="J87" s="49"/>
      <c r="K87" s="49"/>
      <c r="M87" s="46" t="s">
        <v>132</v>
      </c>
      <c r="N87" s="48"/>
      <c r="O87" s="49"/>
      <c r="P87" s="49"/>
    </row>
    <row r="88" spans="1:16" s="46" customFormat="1" ht="11.25">
      <c r="A88" s="46" t="str">
        <f t="shared" si="11"/>
        <v>Version 0.9</v>
      </c>
      <c r="C88" s="50">
        <f t="shared" ref="C88:D95" si="12">IF($C$15=1,J88,O88)</f>
        <v>37712</v>
      </c>
      <c r="D88" s="46" t="str">
        <f t="shared" si="12"/>
        <v>Erstes Release fertiggestellt</v>
      </c>
      <c r="F88" s="47"/>
      <c r="G88" s="47"/>
      <c r="H88" s="46" t="s">
        <v>118</v>
      </c>
      <c r="I88" s="48"/>
      <c r="J88" s="50">
        <v>37712</v>
      </c>
      <c r="K88" s="51" t="s">
        <v>119</v>
      </c>
      <c r="M88" s="46" t="s">
        <v>118</v>
      </c>
      <c r="N88" s="48"/>
      <c r="O88" s="50">
        <v>37712</v>
      </c>
      <c r="P88" s="51" t="s">
        <v>133</v>
      </c>
    </row>
    <row r="89" spans="1:16" s="46" customFormat="1" ht="11.25">
      <c r="A89" s="46" t="str">
        <f t="shared" si="11"/>
        <v>Version 1.0</v>
      </c>
      <c r="C89" s="50">
        <f t="shared" si="12"/>
        <v>37742</v>
      </c>
      <c r="D89" s="46" t="str">
        <f t="shared" si="12"/>
        <v>Erste Version fertiggestellt</v>
      </c>
      <c r="F89" s="47"/>
      <c r="G89" s="47"/>
      <c r="H89" s="46" t="s">
        <v>120</v>
      </c>
      <c r="I89" s="48"/>
      <c r="J89" s="50">
        <v>37742</v>
      </c>
      <c r="K89" s="51" t="s">
        <v>121</v>
      </c>
      <c r="M89" s="46" t="s">
        <v>120</v>
      </c>
      <c r="N89" s="48"/>
      <c r="O89" s="50">
        <v>37742</v>
      </c>
      <c r="P89" s="51" t="s">
        <v>134</v>
      </c>
    </row>
    <row r="90" spans="1:16" s="46" customFormat="1" ht="11.25">
      <c r="A90" s="46" t="str">
        <f t="shared" si="11"/>
        <v>Version 1.1</v>
      </c>
      <c r="C90" s="50">
        <f t="shared" si="12"/>
        <v>37865</v>
      </c>
      <c r="D90" s="46" t="str">
        <f t="shared" si="12"/>
        <v>Englische Sprache ergänzt</v>
      </c>
      <c r="F90" s="47"/>
      <c r="G90" s="47"/>
      <c r="H90" s="46" t="s">
        <v>122</v>
      </c>
      <c r="I90" s="48"/>
      <c r="J90" s="50">
        <v>37865</v>
      </c>
      <c r="K90" s="51" t="s">
        <v>123</v>
      </c>
      <c r="M90" s="46" t="s">
        <v>122</v>
      </c>
      <c r="N90" s="48"/>
      <c r="O90" s="50">
        <v>37865</v>
      </c>
      <c r="P90" s="51" t="s">
        <v>135</v>
      </c>
    </row>
    <row r="91" spans="1:16" s="46" customFormat="1" ht="11.25">
      <c r="A91" s="46" t="str">
        <f t="shared" si="11"/>
        <v>Version 1.2</v>
      </c>
      <c r="C91" s="50">
        <f t="shared" si="12"/>
        <v>37895</v>
      </c>
      <c r="D91" s="46" t="str">
        <f t="shared" si="12"/>
        <v>Erläuterungen eingefügt</v>
      </c>
      <c r="F91" s="47"/>
      <c r="G91" s="47"/>
      <c r="H91" s="46" t="s">
        <v>124</v>
      </c>
      <c r="I91" s="51"/>
      <c r="J91" s="50">
        <v>37895</v>
      </c>
      <c r="K91" s="51" t="s">
        <v>128</v>
      </c>
      <c r="M91" s="46" t="s">
        <v>124</v>
      </c>
      <c r="N91" s="51"/>
      <c r="O91" s="50">
        <v>37895</v>
      </c>
      <c r="P91" s="51" t="s">
        <v>136</v>
      </c>
    </row>
    <row r="92" spans="1:16" s="46" customFormat="1" ht="11.25">
      <c r="A92" s="46" t="str">
        <f t="shared" si="11"/>
        <v>Version 1.3</v>
      </c>
      <c r="C92" s="50">
        <f t="shared" si="12"/>
        <v>37926</v>
      </c>
      <c r="D92" s="46" t="str">
        <f t="shared" si="12"/>
        <v>Skizzen eingefügt und iS-mainz-Version</v>
      </c>
      <c r="F92" s="47"/>
      <c r="G92" s="47"/>
      <c r="H92" s="46" t="s">
        <v>125</v>
      </c>
      <c r="I92" s="51"/>
      <c r="J92" s="50">
        <v>37926</v>
      </c>
      <c r="K92" s="51" t="s">
        <v>386</v>
      </c>
      <c r="M92" s="46" t="s">
        <v>125</v>
      </c>
      <c r="N92" s="51"/>
      <c r="O92" s="50">
        <v>37926</v>
      </c>
      <c r="P92" s="51" t="s">
        <v>387</v>
      </c>
    </row>
    <row r="93" spans="1:16" s="46" customFormat="1" ht="11.25">
      <c r="A93" s="46" t="str">
        <f t="shared" si="11"/>
        <v>Version 1.4</v>
      </c>
      <c r="C93" s="50">
        <f t="shared" si="12"/>
        <v>38078</v>
      </c>
      <c r="D93" s="46" t="str">
        <f t="shared" si="12"/>
        <v>Auswahlbox für Sprache</v>
      </c>
      <c r="F93" s="47"/>
      <c r="G93" s="47"/>
      <c r="H93" s="46" t="s">
        <v>126</v>
      </c>
      <c r="I93" s="51"/>
      <c r="J93" s="50">
        <v>38078</v>
      </c>
      <c r="K93" s="51" t="s">
        <v>139</v>
      </c>
      <c r="M93" s="46" t="s">
        <v>126</v>
      </c>
      <c r="N93" s="51"/>
      <c r="O93" s="50">
        <v>38078</v>
      </c>
      <c r="P93" s="51" t="s">
        <v>140</v>
      </c>
    </row>
    <row r="94" spans="1:16" s="46" customFormat="1" ht="11.25">
      <c r="A94" s="46" t="str">
        <f t="shared" si="11"/>
        <v>Version 1.5</v>
      </c>
      <c r="C94" s="50">
        <f t="shared" si="12"/>
        <v>38108</v>
      </c>
      <c r="D94" s="46" t="str">
        <f t="shared" si="12"/>
        <v>Fehler bei Alpha-T beseitigt</v>
      </c>
      <c r="F94" s="47"/>
      <c r="G94" s="47"/>
      <c r="H94" s="46" t="s">
        <v>127</v>
      </c>
      <c r="I94" s="48"/>
      <c r="J94" s="50">
        <v>38108</v>
      </c>
      <c r="K94" s="51" t="s">
        <v>131</v>
      </c>
      <c r="M94" s="46" t="s">
        <v>127</v>
      </c>
      <c r="N94" s="48"/>
      <c r="O94" s="50">
        <v>38108</v>
      </c>
      <c r="P94" s="51" t="s">
        <v>138</v>
      </c>
    </row>
    <row r="95" spans="1:16" s="46" customFormat="1" ht="11.25">
      <c r="D95" s="46" t="str">
        <f t="shared" si="12"/>
        <v>Vorzeichenfehler bei Auflagerreaktionenen infolge Temp. bereinigt</v>
      </c>
      <c r="F95" s="47"/>
      <c r="G95" s="47"/>
      <c r="I95" s="48"/>
      <c r="J95" s="50"/>
      <c r="K95" s="51" t="s">
        <v>388</v>
      </c>
      <c r="N95" s="48"/>
      <c r="O95" s="50"/>
      <c r="P95" s="51" t="s">
        <v>389</v>
      </c>
    </row>
    <row r="96" spans="1:16" s="46" customFormat="1" ht="11.25">
      <c r="B96" s="48"/>
      <c r="C96" s="50"/>
      <c r="D96" s="51"/>
      <c r="F96" s="47"/>
      <c r="G96" s="47"/>
    </row>
    <row r="97" spans="2:7" s="46" customFormat="1" ht="11.25">
      <c r="B97" s="48"/>
      <c r="C97" s="50"/>
      <c r="D97" s="51"/>
      <c r="F97" s="47"/>
      <c r="G97" s="47"/>
    </row>
    <row r="98" spans="2:7" s="46" customFormat="1" ht="11.25">
      <c r="B98" s="48"/>
      <c r="C98" s="50"/>
      <c r="D98" s="51"/>
      <c r="F98" s="47"/>
      <c r="G98" s="47"/>
    </row>
    <row r="99" spans="2:7" s="46" customFormat="1" ht="11.25">
      <c r="B99" s="48"/>
      <c r="C99" s="50"/>
      <c r="D99" s="51"/>
      <c r="F99" s="47"/>
      <c r="G99" s="47"/>
    </row>
    <row r="100" spans="2:7" s="46" customFormat="1" ht="11.25">
      <c r="B100" s="48"/>
      <c r="C100" s="50"/>
      <c r="D100" s="49"/>
      <c r="F100" s="47"/>
      <c r="G100" s="47"/>
    </row>
    <row r="101" spans="2:7">
      <c r="C101" s="156"/>
    </row>
  </sheetData>
  <mergeCells count="4">
    <mergeCell ref="A3:E3"/>
    <mergeCell ref="H3:L3"/>
    <mergeCell ref="A4:E4"/>
    <mergeCell ref="H4:L4"/>
  </mergeCells>
  <conditionalFormatting sqref="L79 E71 M71 L64 E56 L56">
    <cfRule type="cellIs" dxfId="14" priority="1" stopIfTrue="1" operator="equal">
      <formula>"neben der Innenstütze*"</formula>
    </cfRule>
  </conditionalFormatting>
  <conditionalFormatting sqref="Q79 R71 Q64 Q56">
    <cfRule type="cellIs" dxfId="13" priority="2" stopIfTrue="1" operator="equal">
      <formula>"beside the intermediate support*"</formula>
    </cfRule>
  </conditionalFormatting>
  <conditionalFormatting sqref="M76 L61">
    <cfRule type="cellIs" dxfId="12" priority="3" stopIfTrue="1" operator="equal">
      <formula>"zur genauen Ermittlung z. B. SandStat verwenden"</formula>
    </cfRule>
  </conditionalFormatting>
  <conditionalFormatting sqref="L57:L60 Q57:Q60 R72:R75 M72:M75">
    <cfRule type="cellIs" dxfId="11" priority="4" stopIfTrue="1" operator="equal">
      <formula>"*"</formula>
    </cfRule>
  </conditionalFormatting>
  <conditionalFormatting sqref="R76 Q61">
    <cfRule type="cellIs" dxfId="10" priority="5" stopIfTrue="1" operator="equal">
      <formula>"for more exact determination use e. x. SandStat"</formula>
    </cfRule>
  </conditionalFormatting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5601" r:id="rId3">
          <objectPr defaultSize="0" autoPict="0" r:id="rId4">
            <anchor moveWithCells="1">
              <from>
                <xdr:col>4</xdr:col>
                <xdr:colOff>9525</xdr:colOff>
                <xdr:row>42</xdr:row>
                <xdr:rowOff>95250</xdr:rowOff>
              </from>
              <to>
                <xdr:col>4</xdr:col>
                <xdr:colOff>1428750</xdr:colOff>
                <xdr:row>44</xdr:row>
                <xdr:rowOff>38100</xdr:rowOff>
              </to>
            </anchor>
          </objectPr>
        </oleObject>
      </mc:Choice>
      <mc:Fallback>
        <oleObject progId="Equation.3" shapeId="25601" r:id="rId3"/>
      </mc:Fallback>
    </mc:AlternateContent>
    <mc:AlternateContent xmlns:mc="http://schemas.openxmlformats.org/markup-compatibility/2006">
      <mc:Choice Requires="x14">
        <oleObject progId="Equation.3" shapeId="25602" r:id="rId5">
          <objectPr defaultSize="0" autoPict="0" r:id="rId6">
            <anchor moveWithCells="1">
              <from>
                <xdr:col>4</xdr:col>
                <xdr:colOff>9525</xdr:colOff>
                <xdr:row>40</xdr:row>
                <xdr:rowOff>0</xdr:rowOff>
              </from>
              <to>
                <xdr:col>4</xdr:col>
                <xdr:colOff>1533525</xdr:colOff>
                <xdr:row>42</xdr:row>
                <xdr:rowOff>0</xdr:rowOff>
              </to>
            </anchor>
          </objectPr>
        </oleObject>
      </mc:Choice>
      <mc:Fallback>
        <oleObject progId="Equation.3" shapeId="25602" r:id="rId5"/>
      </mc:Fallback>
    </mc:AlternateContent>
    <mc:AlternateContent xmlns:mc="http://schemas.openxmlformats.org/markup-compatibility/2006">
      <mc:Choice Requires="x14">
        <oleObject progId="Equation.3" shapeId="25603" r:id="rId7">
          <objectPr defaultSize="0" autoPict="0" r:id="rId8">
            <anchor moveWithCells="1">
              <from>
                <xdr:col>4</xdr:col>
                <xdr:colOff>9525</xdr:colOff>
                <xdr:row>44</xdr:row>
                <xdr:rowOff>180975</xdr:rowOff>
              </from>
              <to>
                <xdr:col>4</xdr:col>
                <xdr:colOff>762000</xdr:colOff>
                <xdr:row>46</xdr:row>
                <xdr:rowOff>114300</xdr:rowOff>
              </to>
            </anchor>
          </objectPr>
        </oleObject>
      </mc:Choice>
      <mc:Fallback>
        <oleObject progId="Equation.3" shapeId="25603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2"/>
  <sheetViews>
    <sheetView topLeftCell="A13" workbookViewId="0">
      <selection activeCell="C31" sqref="C31"/>
    </sheetView>
  </sheetViews>
  <sheetFormatPr baseColWidth="10" defaultRowHeight="12.75"/>
  <cols>
    <col min="1" max="1" width="36.7109375" style="4" customWidth="1"/>
    <col min="2" max="2" width="5.5703125" style="30" customWidth="1"/>
    <col min="3" max="3" width="14.42578125" style="3" customWidth="1"/>
    <col min="4" max="4" width="13.7109375" style="3" customWidth="1"/>
    <col min="5" max="5" width="35.28515625" style="4" customWidth="1"/>
    <col min="6" max="6" width="11.5703125" style="5" customWidth="1"/>
    <col min="7" max="7" width="9.28515625" style="5" customWidth="1"/>
    <col min="8" max="8" width="12.140625" style="17" customWidth="1"/>
    <col min="9" max="12" width="2.85546875" style="17" customWidth="1"/>
    <col min="13" max="13" width="6.28515625" style="17" customWidth="1"/>
    <col min="14" max="14" width="3.42578125" style="17" customWidth="1"/>
    <col min="15" max="15" width="3.28515625" style="17" customWidth="1"/>
    <col min="16" max="16" width="3.140625" style="17" customWidth="1"/>
    <col min="17" max="20" width="6.7109375" style="17" customWidth="1"/>
    <col min="21" max="21" width="5.5703125" style="17" customWidth="1"/>
    <col min="22" max="39" width="6.7109375" style="17" customWidth="1"/>
    <col min="40" max="61" width="11.42578125" style="17" customWidth="1"/>
    <col min="62" max="256" width="11.42578125" style="4"/>
    <col min="257" max="257" width="36.7109375" style="4" customWidth="1"/>
    <col min="258" max="258" width="4.7109375" style="4" bestFit="1" customWidth="1"/>
    <col min="259" max="259" width="14.42578125" style="4" customWidth="1"/>
    <col min="260" max="260" width="13.7109375" style="4" customWidth="1"/>
    <col min="261" max="261" width="35.28515625" style="4" customWidth="1"/>
    <col min="262" max="262" width="11.5703125" style="4" customWidth="1"/>
    <col min="263" max="263" width="9.28515625" style="4" customWidth="1"/>
    <col min="264" max="264" width="5.85546875" style="4" customWidth="1"/>
    <col min="265" max="268" width="2.85546875" style="4" customWidth="1"/>
    <col min="269" max="269" width="6.28515625" style="4" customWidth="1"/>
    <col min="270" max="270" width="3.42578125" style="4" customWidth="1"/>
    <col min="271" max="271" width="3.28515625" style="4" customWidth="1"/>
    <col min="272" max="272" width="3.140625" style="4" customWidth="1"/>
    <col min="273" max="276" width="6.7109375" style="4" customWidth="1"/>
    <col min="277" max="277" width="5.5703125" style="4" customWidth="1"/>
    <col min="278" max="295" width="6.7109375" style="4" customWidth="1"/>
    <col min="296" max="317" width="11.42578125" style="4" customWidth="1"/>
    <col min="318" max="512" width="11.42578125" style="4"/>
    <col min="513" max="513" width="36.7109375" style="4" customWidth="1"/>
    <col min="514" max="514" width="4.7109375" style="4" bestFit="1" customWidth="1"/>
    <col min="515" max="515" width="14.42578125" style="4" customWidth="1"/>
    <col min="516" max="516" width="13.7109375" style="4" customWidth="1"/>
    <col min="517" max="517" width="35.28515625" style="4" customWidth="1"/>
    <col min="518" max="518" width="11.5703125" style="4" customWidth="1"/>
    <col min="519" max="519" width="9.28515625" style="4" customWidth="1"/>
    <col min="520" max="520" width="5.85546875" style="4" customWidth="1"/>
    <col min="521" max="524" width="2.85546875" style="4" customWidth="1"/>
    <col min="525" max="525" width="6.28515625" style="4" customWidth="1"/>
    <col min="526" max="526" width="3.42578125" style="4" customWidth="1"/>
    <col min="527" max="527" width="3.28515625" style="4" customWidth="1"/>
    <col min="528" max="528" width="3.140625" style="4" customWidth="1"/>
    <col min="529" max="532" width="6.7109375" style="4" customWidth="1"/>
    <col min="533" max="533" width="5.5703125" style="4" customWidth="1"/>
    <col min="534" max="551" width="6.7109375" style="4" customWidth="1"/>
    <col min="552" max="573" width="11.42578125" style="4" customWidth="1"/>
    <col min="574" max="768" width="11.42578125" style="4"/>
    <col min="769" max="769" width="36.7109375" style="4" customWidth="1"/>
    <col min="770" max="770" width="4.7109375" style="4" bestFit="1" customWidth="1"/>
    <col min="771" max="771" width="14.42578125" style="4" customWidth="1"/>
    <col min="772" max="772" width="13.7109375" style="4" customWidth="1"/>
    <col min="773" max="773" width="35.28515625" style="4" customWidth="1"/>
    <col min="774" max="774" width="11.5703125" style="4" customWidth="1"/>
    <col min="775" max="775" width="9.28515625" style="4" customWidth="1"/>
    <col min="776" max="776" width="5.85546875" style="4" customWidth="1"/>
    <col min="777" max="780" width="2.85546875" style="4" customWidth="1"/>
    <col min="781" max="781" width="6.28515625" style="4" customWidth="1"/>
    <col min="782" max="782" width="3.42578125" style="4" customWidth="1"/>
    <col min="783" max="783" width="3.28515625" style="4" customWidth="1"/>
    <col min="784" max="784" width="3.140625" style="4" customWidth="1"/>
    <col min="785" max="788" width="6.7109375" style="4" customWidth="1"/>
    <col min="789" max="789" width="5.5703125" style="4" customWidth="1"/>
    <col min="790" max="807" width="6.7109375" style="4" customWidth="1"/>
    <col min="808" max="829" width="11.42578125" style="4" customWidth="1"/>
    <col min="830" max="1024" width="11.42578125" style="4"/>
    <col min="1025" max="1025" width="36.7109375" style="4" customWidth="1"/>
    <col min="1026" max="1026" width="4.7109375" style="4" bestFit="1" customWidth="1"/>
    <col min="1027" max="1027" width="14.42578125" style="4" customWidth="1"/>
    <col min="1028" max="1028" width="13.7109375" style="4" customWidth="1"/>
    <col min="1029" max="1029" width="35.28515625" style="4" customWidth="1"/>
    <col min="1030" max="1030" width="11.5703125" style="4" customWidth="1"/>
    <col min="1031" max="1031" width="9.28515625" style="4" customWidth="1"/>
    <col min="1032" max="1032" width="5.85546875" style="4" customWidth="1"/>
    <col min="1033" max="1036" width="2.85546875" style="4" customWidth="1"/>
    <col min="1037" max="1037" width="6.28515625" style="4" customWidth="1"/>
    <col min="1038" max="1038" width="3.42578125" style="4" customWidth="1"/>
    <col min="1039" max="1039" width="3.28515625" style="4" customWidth="1"/>
    <col min="1040" max="1040" width="3.140625" style="4" customWidth="1"/>
    <col min="1041" max="1044" width="6.7109375" style="4" customWidth="1"/>
    <col min="1045" max="1045" width="5.5703125" style="4" customWidth="1"/>
    <col min="1046" max="1063" width="6.7109375" style="4" customWidth="1"/>
    <col min="1064" max="1085" width="11.42578125" style="4" customWidth="1"/>
    <col min="1086" max="1280" width="11.42578125" style="4"/>
    <col min="1281" max="1281" width="36.7109375" style="4" customWidth="1"/>
    <col min="1282" max="1282" width="4.7109375" style="4" bestFit="1" customWidth="1"/>
    <col min="1283" max="1283" width="14.42578125" style="4" customWidth="1"/>
    <col min="1284" max="1284" width="13.7109375" style="4" customWidth="1"/>
    <col min="1285" max="1285" width="35.28515625" style="4" customWidth="1"/>
    <col min="1286" max="1286" width="11.5703125" style="4" customWidth="1"/>
    <col min="1287" max="1287" width="9.28515625" style="4" customWidth="1"/>
    <col min="1288" max="1288" width="5.85546875" style="4" customWidth="1"/>
    <col min="1289" max="1292" width="2.85546875" style="4" customWidth="1"/>
    <col min="1293" max="1293" width="6.28515625" style="4" customWidth="1"/>
    <col min="1294" max="1294" width="3.42578125" style="4" customWidth="1"/>
    <col min="1295" max="1295" width="3.28515625" style="4" customWidth="1"/>
    <col min="1296" max="1296" width="3.140625" style="4" customWidth="1"/>
    <col min="1297" max="1300" width="6.7109375" style="4" customWidth="1"/>
    <col min="1301" max="1301" width="5.5703125" style="4" customWidth="1"/>
    <col min="1302" max="1319" width="6.7109375" style="4" customWidth="1"/>
    <col min="1320" max="1341" width="11.42578125" style="4" customWidth="1"/>
    <col min="1342" max="1536" width="11.42578125" style="4"/>
    <col min="1537" max="1537" width="36.7109375" style="4" customWidth="1"/>
    <col min="1538" max="1538" width="4.7109375" style="4" bestFit="1" customWidth="1"/>
    <col min="1539" max="1539" width="14.42578125" style="4" customWidth="1"/>
    <col min="1540" max="1540" width="13.7109375" style="4" customWidth="1"/>
    <col min="1541" max="1541" width="35.28515625" style="4" customWidth="1"/>
    <col min="1542" max="1542" width="11.5703125" style="4" customWidth="1"/>
    <col min="1543" max="1543" width="9.28515625" style="4" customWidth="1"/>
    <col min="1544" max="1544" width="5.85546875" style="4" customWidth="1"/>
    <col min="1545" max="1548" width="2.85546875" style="4" customWidth="1"/>
    <col min="1549" max="1549" width="6.28515625" style="4" customWidth="1"/>
    <col min="1550" max="1550" width="3.42578125" style="4" customWidth="1"/>
    <col min="1551" max="1551" width="3.28515625" style="4" customWidth="1"/>
    <col min="1552" max="1552" width="3.140625" style="4" customWidth="1"/>
    <col min="1553" max="1556" width="6.7109375" style="4" customWidth="1"/>
    <col min="1557" max="1557" width="5.5703125" style="4" customWidth="1"/>
    <col min="1558" max="1575" width="6.7109375" style="4" customWidth="1"/>
    <col min="1576" max="1597" width="11.42578125" style="4" customWidth="1"/>
    <col min="1598" max="1792" width="11.42578125" style="4"/>
    <col min="1793" max="1793" width="36.7109375" style="4" customWidth="1"/>
    <col min="1794" max="1794" width="4.7109375" style="4" bestFit="1" customWidth="1"/>
    <col min="1795" max="1795" width="14.42578125" style="4" customWidth="1"/>
    <col min="1796" max="1796" width="13.7109375" style="4" customWidth="1"/>
    <col min="1797" max="1797" width="35.28515625" style="4" customWidth="1"/>
    <col min="1798" max="1798" width="11.5703125" style="4" customWidth="1"/>
    <col min="1799" max="1799" width="9.28515625" style="4" customWidth="1"/>
    <col min="1800" max="1800" width="5.85546875" style="4" customWidth="1"/>
    <col min="1801" max="1804" width="2.85546875" style="4" customWidth="1"/>
    <col min="1805" max="1805" width="6.28515625" style="4" customWidth="1"/>
    <col min="1806" max="1806" width="3.42578125" style="4" customWidth="1"/>
    <col min="1807" max="1807" width="3.28515625" style="4" customWidth="1"/>
    <col min="1808" max="1808" width="3.140625" style="4" customWidth="1"/>
    <col min="1809" max="1812" width="6.7109375" style="4" customWidth="1"/>
    <col min="1813" max="1813" width="5.5703125" style="4" customWidth="1"/>
    <col min="1814" max="1831" width="6.7109375" style="4" customWidth="1"/>
    <col min="1832" max="1853" width="11.42578125" style="4" customWidth="1"/>
    <col min="1854" max="2048" width="11.42578125" style="4"/>
    <col min="2049" max="2049" width="36.7109375" style="4" customWidth="1"/>
    <col min="2050" max="2050" width="4.7109375" style="4" bestFit="1" customWidth="1"/>
    <col min="2051" max="2051" width="14.42578125" style="4" customWidth="1"/>
    <col min="2052" max="2052" width="13.7109375" style="4" customWidth="1"/>
    <col min="2053" max="2053" width="35.28515625" style="4" customWidth="1"/>
    <col min="2054" max="2054" width="11.5703125" style="4" customWidth="1"/>
    <col min="2055" max="2055" width="9.28515625" style="4" customWidth="1"/>
    <col min="2056" max="2056" width="5.85546875" style="4" customWidth="1"/>
    <col min="2057" max="2060" width="2.85546875" style="4" customWidth="1"/>
    <col min="2061" max="2061" width="6.28515625" style="4" customWidth="1"/>
    <col min="2062" max="2062" width="3.42578125" style="4" customWidth="1"/>
    <col min="2063" max="2063" width="3.28515625" style="4" customWidth="1"/>
    <col min="2064" max="2064" width="3.140625" style="4" customWidth="1"/>
    <col min="2065" max="2068" width="6.7109375" style="4" customWidth="1"/>
    <col min="2069" max="2069" width="5.5703125" style="4" customWidth="1"/>
    <col min="2070" max="2087" width="6.7109375" style="4" customWidth="1"/>
    <col min="2088" max="2109" width="11.42578125" style="4" customWidth="1"/>
    <col min="2110" max="2304" width="11.42578125" style="4"/>
    <col min="2305" max="2305" width="36.7109375" style="4" customWidth="1"/>
    <col min="2306" max="2306" width="4.7109375" style="4" bestFit="1" customWidth="1"/>
    <col min="2307" max="2307" width="14.42578125" style="4" customWidth="1"/>
    <col min="2308" max="2308" width="13.7109375" style="4" customWidth="1"/>
    <col min="2309" max="2309" width="35.28515625" style="4" customWidth="1"/>
    <col min="2310" max="2310" width="11.5703125" style="4" customWidth="1"/>
    <col min="2311" max="2311" width="9.28515625" style="4" customWidth="1"/>
    <col min="2312" max="2312" width="5.85546875" style="4" customWidth="1"/>
    <col min="2313" max="2316" width="2.85546875" style="4" customWidth="1"/>
    <col min="2317" max="2317" width="6.28515625" style="4" customWidth="1"/>
    <col min="2318" max="2318" width="3.42578125" style="4" customWidth="1"/>
    <col min="2319" max="2319" width="3.28515625" style="4" customWidth="1"/>
    <col min="2320" max="2320" width="3.140625" style="4" customWidth="1"/>
    <col min="2321" max="2324" width="6.7109375" style="4" customWidth="1"/>
    <col min="2325" max="2325" width="5.5703125" style="4" customWidth="1"/>
    <col min="2326" max="2343" width="6.7109375" style="4" customWidth="1"/>
    <col min="2344" max="2365" width="11.42578125" style="4" customWidth="1"/>
    <col min="2366" max="2560" width="11.42578125" style="4"/>
    <col min="2561" max="2561" width="36.7109375" style="4" customWidth="1"/>
    <col min="2562" max="2562" width="4.7109375" style="4" bestFit="1" customWidth="1"/>
    <col min="2563" max="2563" width="14.42578125" style="4" customWidth="1"/>
    <col min="2564" max="2564" width="13.7109375" style="4" customWidth="1"/>
    <col min="2565" max="2565" width="35.28515625" style="4" customWidth="1"/>
    <col min="2566" max="2566" width="11.5703125" style="4" customWidth="1"/>
    <col min="2567" max="2567" width="9.28515625" style="4" customWidth="1"/>
    <col min="2568" max="2568" width="5.85546875" style="4" customWidth="1"/>
    <col min="2569" max="2572" width="2.85546875" style="4" customWidth="1"/>
    <col min="2573" max="2573" width="6.28515625" style="4" customWidth="1"/>
    <col min="2574" max="2574" width="3.42578125" style="4" customWidth="1"/>
    <col min="2575" max="2575" width="3.28515625" style="4" customWidth="1"/>
    <col min="2576" max="2576" width="3.140625" style="4" customWidth="1"/>
    <col min="2577" max="2580" width="6.7109375" style="4" customWidth="1"/>
    <col min="2581" max="2581" width="5.5703125" style="4" customWidth="1"/>
    <col min="2582" max="2599" width="6.7109375" style="4" customWidth="1"/>
    <col min="2600" max="2621" width="11.42578125" style="4" customWidth="1"/>
    <col min="2622" max="2816" width="11.42578125" style="4"/>
    <col min="2817" max="2817" width="36.7109375" style="4" customWidth="1"/>
    <col min="2818" max="2818" width="4.7109375" style="4" bestFit="1" customWidth="1"/>
    <col min="2819" max="2819" width="14.42578125" style="4" customWidth="1"/>
    <col min="2820" max="2820" width="13.7109375" style="4" customWidth="1"/>
    <col min="2821" max="2821" width="35.28515625" style="4" customWidth="1"/>
    <col min="2822" max="2822" width="11.5703125" style="4" customWidth="1"/>
    <col min="2823" max="2823" width="9.28515625" style="4" customWidth="1"/>
    <col min="2824" max="2824" width="5.85546875" style="4" customWidth="1"/>
    <col min="2825" max="2828" width="2.85546875" style="4" customWidth="1"/>
    <col min="2829" max="2829" width="6.28515625" style="4" customWidth="1"/>
    <col min="2830" max="2830" width="3.42578125" style="4" customWidth="1"/>
    <col min="2831" max="2831" width="3.28515625" style="4" customWidth="1"/>
    <col min="2832" max="2832" width="3.140625" style="4" customWidth="1"/>
    <col min="2833" max="2836" width="6.7109375" style="4" customWidth="1"/>
    <col min="2837" max="2837" width="5.5703125" style="4" customWidth="1"/>
    <col min="2838" max="2855" width="6.7109375" style="4" customWidth="1"/>
    <col min="2856" max="2877" width="11.42578125" style="4" customWidth="1"/>
    <col min="2878" max="3072" width="11.42578125" style="4"/>
    <col min="3073" max="3073" width="36.7109375" style="4" customWidth="1"/>
    <col min="3074" max="3074" width="4.7109375" style="4" bestFit="1" customWidth="1"/>
    <col min="3075" max="3075" width="14.42578125" style="4" customWidth="1"/>
    <col min="3076" max="3076" width="13.7109375" style="4" customWidth="1"/>
    <col min="3077" max="3077" width="35.28515625" style="4" customWidth="1"/>
    <col min="3078" max="3078" width="11.5703125" style="4" customWidth="1"/>
    <col min="3079" max="3079" width="9.28515625" style="4" customWidth="1"/>
    <col min="3080" max="3080" width="5.85546875" style="4" customWidth="1"/>
    <col min="3081" max="3084" width="2.85546875" style="4" customWidth="1"/>
    <col min="3085" max="3085" width="6.28515625" style="4" customWidth="1"/>
    <col min="3086" max="3086" width="3.42578125" style="4" customWidth="1"/>
    <col min="3087" max="3087" width="3.28515625" style="4" customWidth="1"/>
    <col min="3088" max="3088" width="3.140625" style="4" customWidth="1"/>
    <col min="3089" max="3092" width="6.7109375" style="4" customWidth="1"/>
    <col min="3093" max="3093" width="5.5703125" style="4" customWidth="1"/>
    <col min="3094" max="3111" width="6.7109375" style="4" customWidth="1"/>
    <col min="3112" max="3133" width="11.42578125" style="4" customWidth="1"/>
    <col min="3134" max="3328" width="11.42578125" style="4"/>
    <col min="3329" max="3329" width="36.7109375" style="4" customWidth="1"/>
    <col min="3330" max="3330" width="4.7109375" style="4" bestFit="1" customWidth="1"/>
    <col min="3331" max="3331" width="14.42578125" style="4" customWidth="1"/>
    <col min="3332" max="3332" width="13.7109375" style="4" customWidth="1"/>
    <col min="3333" max="3333" width="35.28515625" style="4" customWidth="1"/>
    <col min="3334" max="3334" width="11.5703125" style="4" customWidth="1"/>
    <col min="3335" max="3335" width="9.28515625" style="4" customWidth="1"/>
    <col min="3336" max="3336" width="5.85546875" style="4" customWidth="1"/>
    <col min="3337" max="3340" width="2.85546875" style="4" customWidth="1"/>
    <col min="3341" max="3341" width="6.28515625" style="4" customWidth="1"/>
    <col min="3342" max="3342" width="3.42578125" style="4" customWidth="1"/>
    <col min="3343" max="3343" width="3.28515625" style="4" customWidth="1"/>
    <col min="3344" max="3344" width="3.140625" style="4" customWidth="1"/>
    <col min="3345" max="3348" width="6.7109375" style="4" customWidth="1"/>
    <col min="3349" max="3349" width="5.5703125" style="4" customWidth="1"/>
    <col min="3350" max="3367" width="6.7109375" style="4" customWidth="1"/>
    <col min="3368" max="3389" width="11.42578125" style="4" customWidth="1"/>
    <col min="3390" max="3584" width="11.42578125" style="4"/>
    <col min="3585" max="3585" width="36.7109375" style="4" customWidth="1"/>
    <col min="3586" max="3586" width="4.7109375" style="4" bestFit="1" customWidth="1"/>
    <col min="3587" max="3587" width="14.42578125" style="4" customWidth="1"/>
    <col min="3588" max="3588" width="13.7109375" style="4" customWidth="1"/>
    <col min="3589" max="3589" width="35.28515625" style="4" customWidth="1"/>
    <col min="3590" max="3590" width="11.5703125" style="4" customWidth="1"/>
    <col min="3591" max="3591" width="9.28515625" style="4" customWidth="1"/>
    <col min="3592" max="3592" width="5.85546875" style="4" customWidth="1"/>
    <col min="3593" max="3596" width="2.85546875" style="4" customWidth="1"/>
    <col min="3597" max="3597" width="6.28515625" style="4" customWidth="1"/>
    <col min="3598" max="3598" width="3.42578125" style="4" customWidth="1"/>
    <col min="3599" max="3599" width="3.28515625" style="4" customWidth="1"/>
    <col min="3600" max="3600" width="3.140625" style="4" customWidth="1"/>
    <col min="3601" max="3604" width="6.7109375" style="4" customWidth="1"/>
    <col min="3605" max="3605" width="5.5703125" style="4" customWidth="1"/>
    <col min="3606" max="3623" width="6.7109375" style="4" customWidth="1"/>
    <col min="3624" max="3645" width="11.42578125" style="4" customWidth="1"/>
    <col min="3646" max="3840" width="11.42578125" style="4"/>
    <col min="3841" max="3841" width="36.7109375" style="4" customWidth="1"/>
    <col min="3842" max="3842" width="4.7109375" style="4" bestFit="1" customWidth="1"/>
    <col min="3843" max="3843" width="14.42578125" style="4" customWidth="1"/>
    <col min="3844" max="3844" width="13.7109375" style="4" customWidth="1"/>
    <col min="3845" max="3845" width="35.28515625" style="4" customWidth="1"/>
    <col min="3846" max="3846" width="11.5703125" style="4" customWidth="1"/>
    <col min="3847" max="3847" width="9.28515625" style="4" customWidth="1"/>
    <col min="3848" max="3848" width="5.85546875" style="4" customWidth="1"/>
    <col min="3849" max="3852" width="2.85546875" style="4" customWidth="1"/>
    <col min="3853" max="3853" width="6.28515625" style="4" customWidth="1"/>
    <col min="3854" max="3854" width="3.42578125" style="4" customWidth="1"/>
    <col min="3855" max="3855" width="3.28515625" style="4" customWidth="1"/>
    <col min="3856" max="3856" width="3.140625" style="4" customWidth="1"/>
    <col min="3857" max="3860" width="6.7109375" style="4" customWidth="1"/>
    <col min="3861" max="3861" width="5.5703125" style="4" customWidth="1"/>
    <col min="3862" max="3879" width="6.7109375" style="4" customWidth="1"/>
    <col min="3880" max="3901" width="11.42578125" style="4" customWidth="1"/>
    <col min="3902" max="4096" width="11.42578125" style="4"/>
    <col min="4097" max="4097" width="36.7109375" style="4" customWidth="1"/>
    <col min="4098" max="4098" width="4.7109375" style="4" bestFit="1" customWidth="1"/>
    <col min="4099" max="4099" width="14.42578125" style="4" customWidth="1"/>
    <col min="4100" max="4100" width="13.7109375" style="4" customWidth="1"/>
    <col min="4101" max="4101" width="35.28515625" style="4" customWidth="1"/>
    <col min="4102" max="4102" width="11.5703125" style="4" customWidth="1"/>
    <col min="4103" max="4103" width="9.28515625" style="4" customWidth="1"/>
    <col min="4104" max="4104" width="5.85546875" style="4" customWidth="1"/>
    <col min="4105" max="4108" width="2.85546875" style="4" customWidth="1"/>
    <col min="4109" max="4109" width="6.28515625" style="4" customWidth="1"/>
    <col min="4110" max="4110" width="3.42578125" style="4" customWidth="1"/>
    <col min="4111" max="4111" width="3.28515625" style="4" customWidth="1"/>
    <col min="4112" max="4112" width="3.140625" style="4" customWidth="1"/>
    <col min="4113" max="4116" width="6.7109375" style="4" customWidth="1"/>
    <col min="4117" max="4117" width="5.5703125" style="4" customWidth="1"/>
    <col min="4118" max="4135" width="6.7109375" style="4" customWidth="1"/>
    <col min="4136" max="4157" width="11.42578125" style="4" customWidth="1"/>
    <col min="4158" max="4352" width="11.42578125" style="4"/>
    <col min="4353" max="4353" width="36.7109375" style="4" customWidth="1"/>
    <col min="4354" max="4354" width="4.7109375" style="4" bestFit="1" customWidth="1"/>
    <col min="4355" max="4355" width="14.42578125" style="4" customWidth="1"/>
    <col min="4356" max="4356" width="13.7109375" style="4" customWidth="1"/>
    <col min="4357" max="4357" width="35.28515625" style="4" customWidth="1"/>
    <col min="4358" max="4358" width="11.5703125" style="4" customWidth="1"/>
    <col min="4359" max="4359" width="9.28515625" style="4" customWidth="1"/>
    <col min="4360" max="4360" width="5.85546875" style="4" customWidth="1"/>
    <col min="4361" max="4364" width="2.85546875" style="4" customWidth="1"/>
    <col min="4365" max="4365" width="6.28515625" style="4" customWidth="1"/>
    <col min="4366" max="4366" width="3.42578125" style="4" customWidth="1"/>
    <col min="4367" max="4367" width="3.28515625" style="4" customWidth="1"/>
    <col min="4368" max="4368" width="3.140625" style="4" customWidth="1"/>
    <col min="4369" max="4372" width="6.7109375" style="4" customWidth="1"/>
    <col min="4373" max="4373" width="5.5703125" style="4" customWidth="1"/>
    <col min="4374" max="4391" width="6.7109375" style="4" customWidth="1"/>
    <col min="4392" max="4413" width="11.42578125" style="4" customWidth="1"/>
    <col min="4414" max="4608" width="11.42578125" style="4"/>
    <col min="4609" max="4609" width="36.7109375" style="4" customWidth="1"/>
    <col min="4610" max="4610" width="4.7109375" style="4" bestFit="1" customWidth="1"/>
    <col min="4611" max="4611" width="14.42578125" style="4" customWidth="1"/>
    <col min="4612" max="4612" width="13.7109375" style="4" customWidth="1"/>
    <col min="4613" max="4613" width="35.28515625" style="4" customWidth="1"/>
    <col min="4614" max="4614" width="11.5703125" style="4" customWidth="1"/>
    <col min="4615" max="4615" width="9.28515625" style="4" customWidth="1"/>
    <col min="4616" max="4616" width="5.85546875" style="4" customWidth="1"/>
    <col min="4617" max="4620" width="2.85546875" style="4" customWidth="1"/>
    <col min="4621" max="4621" width="6.28515625" style="4" customWidth="1"/>
    <col min="4622" max="4622" width="3.42578125" style="4" customWidth="1"/>
    <col min="4623" max="4623" width="3.28515625" style="4" customWidth="1"/>
    <col min="4624" max="4624" width="3.140625" style="4" customWidth="1"/>
    <col min="4625" max="4628" width="6.7109375" style="4" customWidth="1"/>
    <col min="4629" max="4629" width="5.5703125" style="4" customWidth="1"/>
    <col min="4630" max="4647" width="6.7109375" style="4" customWidth="1"/>
    <col min="4648" max="4669" width="11.42578125" style="4" customWidth="1"/>
    <col min="4670" max="4864" width="11.42578125" style="4"/>
    <col min="4865" max="4865" width="36.7109375" style="4" customWidth="1"/>
    <col min="4866" max="4866" width="4.7109375" style="4" bestFit="1" customWidth="1"/>
    <col min="4867" max="4867" width="14.42578125" style="4" customWidth="1"/>
    <col min="4868" max="4868" width="13.7109375" style="4" customWidth="1"/>
    <col min="4869" max="4869" width="35.28515625" style="4" customWidth="1"/>
    <col min="4870" max="4870" width="11.5703125" style="4" customWidth="1"/>
    <col min="4871" max="4871" width="9.28515625" style="4" customWidth="1"/>
    <col min="4872" max="4872" width="5.85546875" style="4" customWidth="1"/>
    <col min="4873" max="4876" width="2.85546875" style="4" customWidth="1"/>
    <col min="4877" max="4877" width="6.28515625" style="4" customWidth="1"/>
    <col min="4878" max="4878" width="3.42578125" style="4" customWidth="1"/>
    <col min="4879" max="4879" width="3.28515625" style="4" customWidth="1"/>
    <col min="4880" max="4880" width="3.140625" style="4" customWidth="1"/>
    <col min="4881" max="4884" width="6.7109375" style="4" customWidth="1"/>
    <col min="4885" max="4885" width="5.5703125" style="4" customWidth="1"/>
    <col min="4886" max="4903" width="6.7109375" style="4" customWidth="1"/>
    <col min="4904" max="4925" width="11.42578125" style="4" customWidth="1"/>
    <col min="4926" max="5120" width="11.42578125" style="4"/>
    <col min="5121" max="5121" width="36.7109375" style="4" customWidth="1"/>
    <col min="5122" max="5122" width="4.7109375" style="4" bestFit="1" customWidth="1"/>
    <col min="5123" max="5123" width="14.42578125" style="4" customWidth="1"/>
    <col min="5124" max="5124" width="13.7109375" style="4" customWidth="1"/>
    <col min="5125" max="5125" width="35.28515625" style="4" customWidth="1"/>
    <col min="5126" max="5126" width="11.5703125" style="4" customWidth="1"/>
    <col min="5127" max="5127" width="9.28515625" style="4" customWidth="1"/>
    <col min="5128" max="5128" width="5.85546875" style="4" customWidth="1"/>
    <col min="5129" max="5132" width="2.85546875" style="4" customWidth="1"/>
    <col min="5133" max="5133" width="6.28515625" style="4" customWidth="1"/>
    <col min="5134" max="5134" width="3.42578125" style="4" customWidth="1"/>
    <col min="5135" max="5135" width="3.28515625" style="4" customWidth="1"/>
    <col min="5136" max="5136" width="3.140625" style="4" customWidth="1"/>
    <col min="5137" max="5140" width="6.7109375" style="4" customWidth="1"/>
    <col min="5141" max="5141" width="5.5703125" style="4" customWidth="1"/>
    <col min="5142" max="5159" width="6.7109375" style="4" customWidth="1"/>
    <col min="5160" max="5181" width="11.42578125" style="4" customWidth="1"/>
    <col min="5182" max="5376" width="11.42578125" style="4"/>
    <col min="5377" max="5377" width="36.7109375" style="4" customWidth="1"/>
    <col min="5378" max="5378" width="4.7109375" style="4" bestFit="1" customWidth="1"/>
    <col min="5379" max="5379" width="14.42578125" style="4" customWidth="1"/>
    <col min="5380" max="5380" width="13.7109375" style="4" customWidth="1"/>
    <col min="5381" max="5381" width="35.28515625" style="4" customWidth="1"/>
    <col min="5382" max="5382" width="11.5703125" style="4" customWidth="1"/>
    <col min="5383" max="5383" width="9.28515625" style="4" customWidth="1"/>
    <col min="5384" max="5384" width="5.85546875" style="4" customWidth="1"/>
    <col min="5385" max="5388" width="2.85546875" style="4" customWidth="1"/>
    <col min="5389" max="5389" width="6.28515625" style="4" customWidth="1"/>
    <col min="5390" max="5390" width="3.42578125" style="4" customWidth="1"/>
    <col min="5391" max="5391" width="3.28515625" style="4" customWidth="1"/>
    <col min="5392" max="5392" width="3.140625" style="4" customWidth="1"/>
    <col min="5393" max="5396" width="6.7109375" style="4" customWidth="1"/>
    <col min="5397" max="5397" width="5.5703125" style="4" customWidth="1"/>
    <col min="5398" max="5415" width="6.7109375" style="4" customWidth="1"/>
    <col min="5416" max="5437" width="11.42578125" style="4" customWidth="1"/>
    <col min="5438" max="5632" width="11.42578125" style="4"/>
    <col min="5633" max="5633" width="36.7109375" style="4" customWidth="1"/>
    <col min="5634" max="5634" width="4.7109375" style="4" bestFit="1" customWidth="1"/>
    <col min="5635" max="5635" width="14.42578125" style="4" customWidth="1"/>
    <col min="5636" max="5636" width="13.7109375" style="4" customWidth="1"/>
    <col min="5637" max="5637" width="35.28515625" style="4" customWidth="1"/>
    <col min="5638" max="5638" width="11.5703125" style="4" customWidth="1"/>
    <col min="5639" max="5639" width="9.28515625" style="4" customWidth="1"/>
    <col min="5640" max="5640" width="5.85546875" style="4" customWidth="1"/>
    <col min="5641" max="5644" width="2.85546875" style="4" customWidth="1"/>
    <col min="5645" max="5645" width="6.28515625" style="4" customWidth="1"/>
    <col min="5646" max="5646" width="3.42578125" style="4" customWidth="1"/>
    <col min="5647" max="5647" width="3.28515625" style="4" customWidth="1"/>
    <col min="5648" max="5648" width="3.140625" style="4" customWidth="1"/>
    <col min="5649" max="5652" width="6.7109375" style="4" customWidth="1"/>
    <col min="5653" max="5653" width="5.5703125" style="4" customWidth="1"/>
    <col min="5654" max="5671" width="6.7109375" style="4" customWidth="1"/>
    <col min="5672" max="5693" width="11.42578125" style="4" customWidth="1"/>
    <col min="5694" max="5888" width="11.42578125" style="4"/>
    <col min="5889" max="5889" width="36.7109375" style="4" customWidth="1"/>
    <col min="5890" max="5890" width="4.7109375" style="4" bestFit="1" customWidth="1"/>
    <col min="5891" max="5891" width="14.42578125" style="4" customWidth="1"/>
    <col min="5892" max="5892" width="13.7109375" style="4" customWidth="1"/>
    <col min="5893" max="5893" width="35.28515625" style="4" customWidth="1"/>
    <col min="5894" max="5894" width="11.5703125" style="4" customWidth="1"/>
    <col min="5895" max="5895" width="9.28515625" style="4" customWidth="1"/>
    <col min="5896" max="5896" width="5.85546875" style="4" customWidth="1"/>
    <col min="5897" max="5900" width="2.85546875" style="4" customWidth="1"/>
    <col min="5901" max="5901" width="6.28515625" style="4" customWidth="1"/>
    <col min="5902" max="5902" width="3.42578125" style="4" customWidth="1"/>
    <col min="5903" max="5903" width="3.28515625" style="4" customWidth="1"/>
    <col min="5904" max="5904" width="3.140625" style="4" customWidth="1"/>
    <col min="5905" max="5908" width="6.7109375" style="4" customWidth="1"/>
    <col min="5909" max="5909" width="5.5703125" style="4" customWidth="1"/>
    <col min="5910" max="5927" width="6.7109375" style="4" customWidth="1"/>
    <col min="5928" max="5949" width="11.42578125" style="4" customWidth="1"/>
    <col min="5950" max="6144" width="11.42578125" style="4"/>
    <col min="6145" max="6145" width="36.7109375" style="4" customWidth="1"/>
    <col min="6146" max="6146" width="4.7109375" style="4" bestFit="1" customWidth="1"/>
    <col min="6147" max="6147" width="14.42578125" style="4" customWidth="1"/>
    <col min="6148" max="6148" width="13.7109375" style="4" customWidth="1"/>
    <col min="6149" max="6149" width="35.28515625" style="4" customWidth="1"/>
    <col min="6150" max="6150" width="11.5703125" style="4" customWidth="1"/>
    <col min="6151" max="6151" width="9.28515625" style="4" customWidth="1"/>
    <col min="6152" max="6152" width="5.85546875" style="4" customWidth="1"/>
    <col min="6153" max="6156" width="2.85546875" style="4" customWidth="1"/>
    <col min="6157" max="6157" width="6.28515625" style="4" customWidth="1"/>
    <col min="6158" max="6158" width="3.42578125" style="4" customWidth="1"/>
    <col min="6159" max="6159" width="3.28515625" style="4" customWidth="1"/>
    <col min="6160" max="6160" width="3.140625" style="4" customWidth="1"/>
    <col min="6161" max="6164" width="6.7109375" style="4" customWidth="1"/>
    <col min="6165" max="6165" width="5.5703125" style="4" customWidth="1"/>
    <col min="6166" max="6183" width="6.7109375" style="4" customWidth="1"/>
    <col min="6184" max="6205" width="11.42578125" style="4" customWidth="1"/>
    <col min="6206" max="6400" width="11.42578125" style="4"/>
    <col min="6401" max="6401" width="36.7109375" style="4" customWidth="1"/>
    <col min="6402" max="6402" width="4.7109375" style="4" bestFit="1" customWidth="1"/>
    <col min="6403" max="6403" width="14.42578125" style="4" customWidth="1"/>
    <col min="6404" max="6404" width="13.7109375" style="4" customWidth="1"/>
    <col min="6405" max="6405" width="35.28515625" style="4" customWidth="1"/>
    <col min="6406" max="6406" width="11.5703125" style="4" customWidth="1"/>
    <col min="6407" max="6407" width="9.28515625" style="4" customWidth="1"/>
    <col min="6408" max="6408" width="5.85546875" style="4" customWidth="1"/>
    <col min="6409" max="6412" width="2.85546875" style="4" customWidth="1"/>
    <col min="6413" max="6413" width="6.28515625" style="4" customWidth="1"/>
    <col min="6414" max="6414" width="3.42578125" style="4" customWidth="1"/>
    <col min="6415" max="6415" width="3.28515625" style="4" customWidth="1"/>
    <col min="6416" max="6416" width="3.140625" style="4" customWidth="1"/>
    <col min="6417" max="6420" width="6.7109375" style="4" customWidth="1"/>
    <col min="6421" max="6421" width="5.5703125" style="4" customWidth="1"/>
    <col min="6422" max="6439" width="6.7109375" style="4" customWidth="1"/>
    <col min="6440" max="6461" width="11.42578125" style="4" customWidth="1"/>
    <col min="6462" max="6656" width="11.42578125" style="4"/>
    <col min="6657" max="6657" width="36.7109375" style="4" customWidth="1"/>
    <col min="6658" max="6658" width="4.7109375" style="4" bestFit="1" customWidth="1"/>
    <col min="6659" max="6659" width="14.42578125" style="4" customWidth="1"/>
    <col min="6660" max="6660" width="13.7109375" style="4" customWidth="1"/>
    <col min="6661" max="6661" width="35.28515625" style="4" customWidth="1"/>
    <col min="6662" max="6662" width="11.5703125" style="4" customWidth="1"/>
    <col min="6663" max="6663" width="9.28515625" style="4" customWidth="1"/>
    <col min="6664" max="6664" width="5.85546875" style="4" customWidth="1"/>
    <col min="6665" max="6668" width="2.85546875" style="4" customWidth="1"/>
    <col min="6669" max="6669" width="6.28515625" style="4" customWidth="1"/>
    <col min="6670" max="6670" width="3.42578125" style="4" customWidth="1"/>
    <col min="6671" max="6671" width="3.28515625" style="4" customWidth="1"/>
    <col min="6672" max="6672" width="3.140625" style="4" customWidth="1"/>
    <col min="6673" max="6676" width="6.7109375" style="4" customWidth="1"/>
    <col min="6677" max="6677" width="5.5703125" style="4" customWidth="1"/>
    <col min="6678" max="6695" width="6.7109375" style="4" customWidth="1"/>
    <col min="6696" max="6717" width="11.42578125" style="4" customWidth="1"/>
    <col min="6718" max="6912" width="11.42578125" style="4"/>
    <col min="6913" max="6913" width="36.7109375" style="4" customWidth="1"/>
    <col min="6914" max="6914" width="4.7109375" style="4" bestFit="1" customWidth="1"/>
    <col min="6915" max="6915" width="14.42578125" style="4" customWidth="1"/>
    <col min="6916" max="6916" width="13.7109375" style="4" customWidth="1"/>
    <col min="6917" max="6917" width="35.28515625" style="4" customWidth="1"/>
    <col min="6918" max="6918" width="11.5703125" style="4" customWidth="1"/>
    <col min="6919" max="6919" width="9.28515625" style="4" customWidth="1"/>
    <col min="6920" max="6920" width="5.85546875" style="4" customWidth="1"/>
    <col min="6921" max="6924" width="2.85546875" style="4" customWidth="1"/>
    <col min="6925" max="6925" width="6.28515625" style="4" customWidth="1"/>
    <col min="6926" max="6926" width="3.42578125" style="4" customWidth="1"/>
    <col min="6927" max="6927" width="3.28515625" style="4" customWidth="1"/>
    <col min="6928" max="6928" width="3.140625" style="4" customWidth="1"/>
    <col min="6929" max="6932" width="6.7109375" style="4" customWidth="1"/>
    <col min="6933" max="6933" width="5.5703125" style="4" customWidth="1"/>
    <col min="6934" max="6951" width="6.7109375" style="4" customWidth="1"/>
    <col min="6952" max="6973" width="11.42578125" style="4" customWidth="1"/>
    <col min="6974" max="7168" width="11.42578125" style="4"/>
    <col min="7169" max="7169" width="36.7109375" style="4" customWidth="1"/>
    <col min="7170" max="7170" width="4.7109375" style="4" bestFit="1" customWidth="1"/>
    <col min="7171" max="7171" width="14.42578125" style="4" customWidth="1"/>
    <col min="7172" max="7172" width="13.7109375" style="4" customWidth="1"/>
    <col min="7173" max="7173" width="35.28515625" style="4" customWidth="1"/>
    <col min="7174" max="7174" width="11.5703125" style="4" customWidth="1"/>
    <col min="7175" max="7175" width="9.28515625" style="4" customWidth="1"/>
    <col min="7176" max="7176" width="5.85546875" style="4" customWidth="1"/>
    <col min="7177" max="7180" width="2.85546875" style="4" customWidth="1"/>
    <col min="7181" max="7181" width="6.28515625" style="4" customWidth="1"/>
    <col min="7182" max="7182" width="3.42578125" style="4" customWidth="1"/>
    <col min="7183" max="7183" width="3.28515625" style="4" customWidth="1"/>
    <col min="7184" max="7184" width="3.140625" style="4" customWidth="1"/>
    <col min="7185" max="7188" width="6.7109375" style="4" customWidth="1"/>
    <col min="7189" max="7189" width="5.5703125" style="4" customWidth="1"/>
    <col min="7190" max="7207" width="6.7109375" style="4" customWidth="1"/>
    <col min="7208" max="7229" width="11.42578125" style="4" customWidth="1"/>
    <col min="7230" max="7424" width="11.42578125" style="4"/>
    <col min="7425" max="7425" width="36.7109375" style="4" customWidth="1"/>
    <col min="7426" max="7426" width="4.7109375" style="4" bestFit="1" customWidth="1"/>
    <col min="7427" max="7427" width="14.42578125" style="4" customWidth="1"/>
    <col min="7428" max="7428" width="13.7109375" style="4" customWidth="1"/>
    <col min="7429" max="7429" width="35.28515625" style="4" customWidth="1"/>
    <col min="7430" max="7430" width="11.5703125" style="4" customWidth="1"/>
    <col min="7431" max="7431" width="9.28515625" style="4" customWidth="1"/>
    <col min="7432" max="7432" width="5.85546875" style="4" customWidth="1"/>
    <col min="7433" max="7436" width="2.85546875" style="4" customWidth="1"/>
    <col min="7437" max="7437" width="6.28515625" style="4" customWidth="1"/>
    <col min="7438" max="7438" width="3.42578125" style="4" customWidth="1"/>
    <col min="7439" max="7439" width="3.28515625" style="4" customWidth="1"/>
    <col min="7440" max="7440" width="3.140625" style="4" customWidth="1"/>
    <col min="7441" max="7444" width="6.7109375" style="4" customWidth="1"/>
    <col min="7445" max="7445" width="5.5703125" style="4" customWidth="1"/>
    <col min="7446" max="7463" width="6.7109375" style="4" customWidth="1"/>
    <col min="7464" max="7485" width="11.42578125" style="4" customWidth="1"/>
    <col min="7486" max="7680" width="11.42578125" style="4"/>
    <col min="7681" max="7681" width="36.7109375" style="4" customWidth="1"/>
    <col min="7682" max="7682" width="4.7109375" style="4" bestFit="1" customWidth="1"/>
    <col min="7683" max="7683" width="14.42578125" style="4" customWidth="1"/>
    <col min="7684" max="7684" width="13.7109375" style="4" customWidth="1"/>
    <col min="7685" max="7685" width="35.28515625" style="4" customWidth="1"/>
    <col min="7686" max="7686" width="11.5703125" style="4" customWidth="1"/>
    <col min="7687" max="7687" width="9.28515625" style="4" customWidth="1"/>
    <col min="7688" max="7688" width="5.85546875" style="4" customWidth="1"/>
    <col min="7689" max="7692" width="2.85546875" style="4" customWidth="1"/>
    <col min="7693" max="7693" width="6.28515625" style="4" customWidth="1"/>
    <col min="7694" max="7694" width="3.42578125" style="4" customWidth="1"/>
    <col min="7695" max="7695" width="3.28515625" style="4" customWidth="1"/>
    <col min="7696" max="7696" width="3.140625" style="4" customWidth="1"/>
    <col min="7697" max="7700" width="6.7109375" style="4" customWidth="1"/>
    <col min="7701" max="7701" width="5.5703125" style="4" customWidth="1"/>
    <col min="7702" max="7719" width="6.7109375" style="4" customWidth="1"/>
    <col min="7720" max="7741" width="11.42578125" style="4" customWidth="1"/>
    <col min="7742" max="7936" width="11.42578125" style="4"/>
    <col min="7937" max="7937" width="36.7109375" style="4" customWidth="1"/>
    <col min="7938" max="7938" width="4.7109375" style="4" bestFit="1" customWidth="1"/>
    <col min="7939" max="7939" width="14.42578125" style="4" customWidth="1"/>
    <col min="7940" max="7940" width="13.7109375" style="4" customWidth="1"/>
    <col min="7941" max="7941" width="35.28515625" style="4" customWidth="1"/>
    <col min="7942" max="7942" width="11.5703125" style="4" customWidth="1"/>
    <col min="7943" max="7943" width="9.28515625" style="4" customWidth="1"/>
    <col min="7944" max="7944" width="5.85546875" style="4" customWidth="1"/>
    <col min="7945" max="7948" width="2.85546875" style="4" customWidth="1"/>
    <col min="7949" max="7949" width="6.28515625" style="4" customWidth="1"/>
    <col min="7950" max="7950" width="3.42578125" style="4" customWidth="1"/>
    <col min="7951" max="7951" width="3.28515625" style="4" customWidth="1"/>
    <col min="7952" max="7952" width="3.140625" style="4" customWidth="1"/>
    <col min="7953" max="7956" width="6.7109375" style="4" customWidth="1"/>
    <col min="7957" max="7957" width="5.5703125" style="4" customWidth="1"/>
    <col min="7958" max="7975" width="6.7109375" style="4" customWidth="1"/>
    <col min="7976" max="7997" width="11.42578125" style="4" customWidth="1"/>
    <col min="7998" max="8192" width="11.42578125" style="4"/>
    <col min="8193" max="8193" width="36.7109375" style="4" customWidth="1"/>
    <col min="8194" max="8194" width="4.7109375" style="4" bestFit="1" customWidth="1"/>
    <col min="8195" max="8195" width="14.42578125" style="4" customWidth="1"/>
    <col min="8196" max="8196" width="13.7109375" style="4" customWidth="1"/>
    <col min="8197" max="8197" width="35.28515625" style="4" customWidth="1"/>
    <col min="8198" max="8198" width="11.5703125" style="4" customWidth="1"/>
    <col min="8199" max="8199" width="9.28515625" style="4" customWidth="1"/>
    <col min="8200" max="8200" width="5.85546875" style="4" customWidth="1"/>
    <col min="8201" max="8204" width="2.85546875" style="4" customWidth="1"/>
    <col min="8205" max="8205" width="6.28515625" style="4" customWidth="1"/>
    <col min="8206" max="8206" width="3.42578125" style="4" customWidth="1"/>
    <col min="8207" max="8207" width="3.28515625" style="4" customWidth="1"/>
    <col min="8208" max="8208" width="3.140625" style="4" customWidth="1"/>
    <col min="8209" max="8212" width="6.7109375" style="4" customWidth="1"/>
    <col min="8213" max="8213" width="5.5703125" style="4" customWidth="1"/>
    <col min="8214" max="8231" width="6.7109375" style="4" customWidth="1"/>
    <col min="8232" max="8253" width="11.42578125" style="4" customWidth="1"/>
    <col min="8254" max="8448" width="11.42578125" style="4"/>
    <col min="8449" max="8449" width="36.7109375" style="4" customWidth="1"/>
    <col min="8450" max="8450" width="4.7109375" style="4" bestFit="1" customWidth="1"/>
    <col min="8451" max="8451" width="14.42578125" style="4" customWidth="1"/>
    <col min="8452" max="8452" width="13.7109375" style="4" customWidth="1"/>
    <col min="8453" max="8453" width="35.28515625" style="4" customWidth="1"/>
    <col min="8454" max="8454" width="11.5703125" style="4" customWidth="1"/>
    <col min="8455" max="8455" width="9.28515625" style="4" customWidth="1"/>
    <col min="8456" max="8456" width="5.85546875" style="4" customWidth="1"/>
    <col min="8457" max="8460" width="2.85546875" style="4" customWidth="1"/>
    <col min="8461" max="8461" width="6.28515625" style="4" customWidth="1"/>
    <col min="8462" max="8462" width="3.42578125" style="4" customWidth="1"/>
    <col min="8463" max="8463" width="3.28515625" style="4" customWidth="1"/>
    <col min="8464" max="8464" width="3.140625" style="4" customWidth="1"/>
    <col min="8465" max="8468" width="6.7109375" style="4" customWidth="1"/>
    <col min="8469" max="8469" width="5.5703125" style="4" customWidth="1"/>
    <col min="8470" max="8487" width="6.7109375" style="4" customWidth="1"/>
    <col min="8488" max="8509" width="11.42578125" style="4" customWidth="1"/>
    <col min="8510" max="8704" width="11.42578125" style="4"/>
    <col min="8705" max="8705" width="36.7109375" style="4" customWidth="1"/>
    <col min="8706" max="8706" width="4.7109375" style="4" bestFit="1" customWidth="1"/>
    <col min="8707" max="8707" width="14.42578125" style="4" customWidth="1"/>
    <col min="8708" max="8708" width="13.7109375" style="4" customWidth="1"/>
    <col min="8709" max="8709" width="35.28515625" style="4" customWidth="1"/>
    <col min="8710" max="8710" width="11.5703125" style="4" customWidth="1"/>
    <col min="8711" max="8711" width="9.28515625" style="4" customWidth="1"/>
    <col min="8712" max="8712" width="5.85546875" style="4" customWidth="1"/>
    <col min="8713" max="8716" width="2.85546875" style="4" customWidth="1"/>
    <col min="8717" max="8717" width="6.28515625" style="4" customWidth="1"/>
    <col min="8718" max="8718" width="3.42578125" style="4" customWidth="1"/>
    <col min="8719" max="8719" width="3.28515625" style="4" customWidth="1"/>
    <col min="8720" max="8720" width="3.140625" style="4" customWidth="1"/>
    <col min="8721" max="8724" width="6.7109375" style="4" customWidth="1"/>
    <col min="8725" max="8725" width="5.5703125" style="4" customWidth="1"/>
    <col min="8726" max="8743" width="6.7109375" style="4" customWidth="1"/>
    <col min="8744" max="8765" width="11.42578125" style="4" customWidth="1"/>
    <col min="8766" max="8960" width="11.42578125" style="4"/>
    <col min="8961" max="8961" width="36.7109375" style="4" customWidth="1"/>
    <col min="8962" max="8962" width="4.7109375" style="4" bestFit="1" customWidth="1"/>
    <col min="8963" max="8963" width="14.42578125" style="4" customWidth="1"/>
    <col min="8964" max="8964" width="13.7109375" style="4" customWidth="1"/>
    <col min="8965" max="8965" width="35.28515625" style="4" customWidth="1"/>
    <col min="8966" max="8966" width="11.5703125" style="4" customWidth="1"/>
    <col min="8967" max="8967" width="9.28515625" style="4" customWidth="1"/>
    <col min="8968" max="8968" width="5.85546875" style="4" customWidth="1"/>
    <col min="8969" max="8972" width="2.85546875" style="4" customWidth="1"/>
    <col min="8973" max="8973" width="6.28515625" style="4" customWidth="1"/>
    <col min="8974" max="8974" width="3.42578125" style="4" customWidth="1"/>
    <col min="8975" max="8975" width="3.28515625" style="4" customWidth="1"/>
    <col min="8976" max="8976" width="3.140625" style="4" customWidth="1"/>
    <col min="8977" max="8980" width="6.7109375" style="4" customWidth="1"/>
    <col min="8981" max="8981" width="5.5703125" style="4" customWidth="1"/>
    <col min="8982" max="8999" width="6.7109375" style="4" customWidth="1"/>
    <col min="9000" max="9021" width="11.42578125" style="4" customWidth="1"/>
    <col min="9022" max="9216" width="11.42578125" style="4"/>
    <col min="9217" max="9217" width="36.7109375" style="4" customWidth="1"/>
    <col min="9218" max="9218" width="4.7109375" style="4" bestFit="1" customWidth="1"/>
    <col min="9219" max="9219" width="14.42578125" style="4" customWidth="1"/>
    <col min="9220" max="9220" width="13.7109375" style="4" customWidth="1"/>
    <col min="9221" max="9221" width="35.28515625" style="4" customWidth="1"/>
    <col min="9222" max="9222" width="11.5703125" style="4" customWidth="1"/>
    <col min="9223" max="9223" width="9.28515625" style="4" customWidth="1"/>
    <col min="9224" max="9224" width="5.85546875" style="4" customWidth="1"/>
    <col min="9225" max="9228" width="2.85546875" style="4" customWidth="1"/>
    <col min="9229" max="9229" width="6.28515625" style="4" customWidth="1"/>
    <col min="9230" max="9230" width="3.42578125" style="4" customWidth="1"/>
    <col min="9231" max="9231" width="3.28515625" style="4" customWidth="1"/>
    <col min="9232" max="9232" width="3.140625" style="4" customWidth="1"/>
    <col min="9233" max="9236" width="6.7109375" style="4" customWidth="1"/>
    <col min="9237" max="9237" width="5.5703125" style="4" customWidth="1"/>
    <col min="9238" max="9255" width="6.7109375" style="4" customWidth="1"/>
    <col min="9256" max="9277" width="11.42578125" style="4" customWidth="1"/>
    <col min="9278" max="9472" width="11.42578125" style="4"/>
    <col min="9473" max="9473" width="36.7109375" style="4" customWidth="1"/>
    <col min="9474" max="9474" width="4.7109375" style="4" bestFit="1" customWidth="1"/>
    <col min="9475" max="9475" width="14.42578125" style="4" customWidth="1"/>
    <col min="9476" max="9476" width="13.7109375" style="4" customWidth="1"/>
    <col min="9477" max="9477" width="35.28515625" style="4" customWidth="1"/>
    <col min="9478" max="9478" width="11.5703125" style="4" customWidth="1"/>
    <col min="9479" max="9479" width="9.28515625" style="4" customWidth="1"/>
    <col min="9480" max="9480" width="5.85546875" style="4" customWidth="1"/>
    <col min="9481" max="9484" width="2.85546875" style="4" customWidth="1"/>
    <col min="9485" max="9485" width="6.28515625" style="4" customWidth="1"/>
    <col min="9486" max="9486" width="3.42578125" style="4" customWidth="1"/>
    <col min="9487" max="9487" width="3.28515625" style="4" customWidth="1"/>
    <col min="9488" max="9488" width="3.140625" style="4" customWidth="1"/>
    <col min="9489" max="9492" width="6.7109375" style="4" customWidth="1"/>
    <col min="9493" max="9493" width="5.5703125" style="4" customWidth="1"/>
    <col min="9494" max="9511" width="6.7109375" style="4" customWidth="1"/>
    <col min="9512" max="9533" width="11.42578125" style="4" customWidth="1"/>
    <col min="9534" max="9728" width="11.42578125" style="4"/>
    <col min="9729" max="9729" width="36.7109375" style="4" customWidth="1"/>
    <col min="9730" max="9730" width="4.7109375" style="4" bestFit="1" customWidth="1"/>
    <col min="9731" max="9731" width="14.42578125" style="4" customWidth="1"/>
    <col min="9732" max="9732" width="13.7109375" style="4" customWidth="1"/>
    <col min="9733" max="9733" width="35.28515625" style="4" customWidth="1"/>
    <col min="9734" max="9734" width="11.5703125" style="4" customWidth="1"/>
    <col min="9735" max="9735" width="9.28515625" style="4" customWidth="1"/>
    <col min="9736" max="9736" width="5.85546875" style="4" customWidth="1"/>
    <col min="9737" max="9740" width="2.85546875" style="4" customWidth="1"/>
    <col min="9741" max="9741" width="6.28515625" style="4" customWidth="1"/>
    <col min="9742" max="9742" width="3.42578125" style="4" customWidth="1"/>
    <col min="9743" max="9743" width="3.28515625" style="4" customWidth="1"/>
    <col min="9744" max="9744" width="3.140625" style="4" customWidth="1"/>
    <col min="9745" max="9748" width="6.7109375" style="4" customWidth="1"/>
    <col min="9749" max="9749" width="5.5703125" style="4" customWidth="1"/>
    <col min="9750" max="9767" width="6.7109375" style="4" customWidth="1"/>
    <col min="9768" max="9789" width="11.42578125" style="4" customWidth="1"/>
    <col min="9790" max="9984" width="11.42578125" style="4"/>
    <col min="9985" max="9985" width="36.7109375" style="4" customWidth="1"/>
    <col min="9986" max="9986" width="4.7109375" style="4" bestFit="1" customWidth="1"/>
    <col min="9987" max="9987" width="14.42578125" style="4" customWidth="1"/>
    <col min="9988" max="9988" width="13.7109375" style="4" customWidth="1"/>
    <col min="9989" max="9989" width="35.28515625" style="4" customWidth="1"/>
    <col min="9990" max="9990" width="11.5703125" style="4" customWidth="1"/>
    <col min="9991" max="9991" width="9.28515625" style="4" customWidth="1"/>
    <col min="9992" max="9992" width="5.85546875" style="4" customWidth="1"/>
    <col min="9993" max="9996" width="2.85546875" style="4" customWidth="1"/>
    <col min="9997" max="9997" width="6.28515625" style="4" customWidth="1"/>
    <col min="9998" max="9998" width="3.42578125" style="4" customWidth="1"/>
    <col min="9999" max="9999" width="3.28515625" style="4" customWidth="1"/>
    <col min="10000" max="10000" width="3.140625" style="4" customWidth="1"/>
    <col min="10001" max="10004" width="6.7109375" style="4" customWidth="1"/>
    <col min="10005" max="10005" width="5.5703125" style="4" customWidth="1"/>
    <col min="10006" max="10023" width="6.7109375" style="4" customWidth="1"/>
    <col min="10024" max="10045" width="11.42578125" style="4" customWidth="1"/>
    <col min="10046" max="10240" width="11.42578125" style="4"/>
    <col min="10241" max="10241" width="36.7109375" style="4" customWidth="1"/>
    <col min="10242" max="10242" width="4.7109375" style="4" bestFit="1" customWidth="1"/>
    <col min="10243" max="10243" width="14.42578125" style="4" customWidth="1"/>
    <col min="10244" max="10244" width="13.7109375" style="4" customWidth="1"/>
    <col min="10245" max="10245" width="35.28515625" style="4" customWidth="1"/>
    <col min="10246" max="10246" width="11.5703125" style="4" customWidth="1"/>
    <col min="10247" max="10247" width="9.28515625" style="4" customWidth="1"/>
    <col min="10248" max="10248" width="5.85546875" style="4" customWidth="1"/>
    <col min="10249" max="10252" width="2.85546875" style="4" customWidth="1"/>
    <col min="10253" max="10253" width="6.28515625" style="4" customWidth="1"/>
    <col min="10254" max="10254" width="3.42578125" style="4" customWidth="1"/>
    <col min="10255" max="10255" width="3.28515625" style="4" customWidth="1"/>
    <col min="10256" max="10256" width="3.140625" style="4" customWidth="1"/>
    <col min="10257" max="10260" width="6.7109375" style="4" customWidth="1"/>
    <col min="10261" max="10261" width="5.5703125" style="4" customWidth="1"/>
    <col min="10262" max="10279" width="6.7109375" style="4" customWidth="1"/>
    <col min="10280" max="10301" width="11.42578125" style="4" customWidth="1"/>
    <col min="10302" max="10496" width="11.42578125" style="4"/>
    <col min="10497" max="10497" width="36.7109375" style="4" customWidth="1"/>
    <col min="10498" max="10498" width="4.7109375" style="4" bestFit="1" customWidth="1"/>
    <col min="10499" max="10499" width="14.42578125" style="4" customWidth="1"/>
    <col min="10500" max="10500" width="13.7109375" style="4" customWidth="1"/>
    <col min="10501" max="10501" width="35.28515625" style="4" customWidth="1"/>
    <col min="10502" max="10502" width="11.5703125" style="4" customWidth="1"/>
    <col min="10503" max="10503" width="9.28515625" style="4" customWidth="1"/>
    <col min="10504" max="10504" width="5.85546875" style="4" customWidth="1"/>
    <col min="10505" max="10508" width="2.85546875" style="4" customWidth="1"/>
    <col min="10509" max="10509" width="6.28515625" style="4" customWidth="1"/>
    <col min="10510" max="10510" width="3.42578125" style="4" customWidth="1"/>
    <col min="10511" max="10511" width="3.28515625" style="4" customWidth="1"/>
    <col min="10512" max="10512" width="3.140625" style="4" customWidth="1"/>
    <col min="10513" max="10516" width="6.7109375" style="4" customWidth="1"/>
    <col min="10517" max="10517" width="5.5703125" style="4" customWidth="1"/>
    <col min="10518" max="10535" width="6.7109375" style="4" customWidth="1"/>
    <col min="10536" max="10557" width="11.42578125" style="4" customWidth="1"/>
    <col min="10558" max="10752" width="11.42578125" style="4"/>
    <col min="10753" max="10753" width="36.7109375" style="4" customWidth="1"/>
    <col min="10754" max="10754" width="4.7109375" style="4" bestFit="1" customWidth="1"/>
    <col min="10755" max="10755" width="14.42578125" style="4" customWidth="1"/>
    <col min="10756" max="10756" width="13.7109375" style="4" customWidth="1"/>
    <col min="10757" max="10757" width="35.28515625" style="4" customWidth="1"/>
    <col min="10758" max="10758" width="11.5703125" style="4" customWidth="1"/>
    <col min="10759" max="10759" width="9.28515625" style="4" customWidth="1"/>
    <col min="10760" max="10760" width="5.85546875" style="4" customWidth="1"/>
    <col min="10761" max="10764" width="2.85546875" style="4" customWidth="1"/>
    <col min="10765" max="10765" width="6.28515625" style="4" customWidth="1"/>
    <col min="10766" max="10766" width="3.42578125" style="4" customWidth="1"/>
    <col min="10767" max="10767" width="3.28515625" style="4" customWidth="1"/>
    <col min="10768" max="10768" width="3.140625" style="4" customWidth="1"/>
    <col min="10769" max="10772" width="6.7109375" style="4" customWidth="1"/>
    <col min="10773" max="10773" width="5.5703125" style="4" customWidth="1"/>
    <col min="10774" max="10791" width="6.7109375" style="4" customWidth="1"/>
    <col min="10792" max="10813" width="11.42578125" style="4" customWidth="1"/>
    <col min="10814" max="11008" width="11.42578125" style="4"/>
    <col min="11009" max="11009" width="36.7109375" style="4" customWidth="1"/>
    <col min="11010" max="11010" width="4.7109375" style="4" bestFit="1" customWidth="1"/>
    <col min="11011" max="11011" width="14.42578125" style="4" customWidth="1"/>
    <col min="11012" max="11012" width="13.7109375" style="4" customWidth="1"/>
    <col min="11013" max="11013" width="35.28515625" style="4" customWidth="1"/>
    <col min="11014" max="11014" width="11.5703125" style="4" customWidth="1"/>
    <col min="11015" max="11015" width="9.28515625" style="4" customWidth="1"/>
    <col min="11016" max="11016" width="5.85546875" style="4" customWidth="1"/>
    <col min="11017" max="11020" width="2.85546875" style="4" customWidth="1"/>
    <col min="11021" max="11021" width="6.28515625" style="4" customWidth="1"/>
    <col min="11022" max="11022" width="3.42578125" style="4" customWidth="1"/>
    <col min="11023" max="11023" width="3.28515625" style="4" customWidth="1"/>
    <col min="11024" max="11024" width="3.140625" style="4" customWidth="1"/>
    <col min="11025" max="11028" width="6.7109375" style="4" customWidth="1"/>
    <col min="11029" max="11029" width="5.5703125" style="4" customWidth="1"/>
    <col min="11030" max="11047" width="6.7109375" style="4" customWidth="1"/>
    <col min="11048" max="11069" width="11.42578125" style="4" customWidth="1"/>
    <col min="11070" max="11264" width="11.42578125" style="4"/>
    <col min="11265" max="11265" width="36.7109375" style="4" customWidth="1"/>
    <col min="11266" max="11266" width="4.7109375" style="4" bestFit="1" customWidth="1"/>
    <col min="11267" max="11267" width="14.42578125" style="4" customWidth="1"/>
    <col min="11268" max="11268" width="13.7109375" style="4" customWidth="1"/>
    <col min="11269" max="11269" width="35.28515625" style="4" customWidth="1"/>
    <col min="11270" max="11270" width="11.5703125" style="4" customWidth="1"/>
    <col min="11271" max="11271" width="9.28515625" style="4" customWidth="1"/>
    <col min="11272" max="11272" width="5.85546875" style="4" customWidth="1"/>
    <col min="11273" max="11276" width="2.85546875" style="4" customWidth="1"/>
    <col min="11277" max="11277" width="6.28515625" style="4" customWidth="1"/>
    <col min="11278" max="11278" width="3.42578125" style="4" customWidth="1"/>
    <col min="11279" max="11279" width="3.28515625" style="4" customWidth="1"/>
    <col min="11280" max="11280" width="3.140625" style="4" customWidth="1"/>
    <col min="11281" max="11284" width="6.7109375" style="4" customWidth="1"/>
    <col min="11285" max="11285" width="5.5703125" style="4" customWidth="1"/>
    <col min="11286" max="11303" width="6.7109375" style="4" customWidth="1"/>
    <col min="11304" max="11325" width="11.42578125" style="4" customWidth="1"/>
    <col min="11326" max="11520" width="11.42578125" style="4"/>
    <col min="11521" max="11521" width="36.7109375" style="4" customWidth="1"/>
    <col min="11522" max="11522" width="4.7109375" style="4" bestFit="1" customWidth="1"/>
    <col min="11523" max="11523" width="14.42578125" style="4" customWidth="1"/>
    <col min="11524" max="11524" width="13.7109375" style="4" customWidth="1"/>
    <col min="11525" max="11525" width="35.28515625" style="4" customWidth="1"/>
    <col min="11526" max="11526" width="11.5703125" style="4" customWidth="1"/>
    <col min="11527" max="11527" width="9.28515625" style="4" customWidth="1"/>
    <col min="11528" max="11528" width="5.85546875" style="4" customWidth="1"/>
    <col min="11529" max="11532" width="2.85546875" style="4" customWidth="1"/>
    <col min="11533" max="11533" width="6.28515625" style="4" customWidth="1"/>
    <col min="11534" max="11534" width="3.42578125" style="4" customWidth="1"/>
    <col min="11535" max="11535" width="3.28515625" style="4" customWidth="1"/>
    <col min="11536" max="11536" width="3.140625" style="4" customWidth="1"/>
    <col min="11537" max="11540" width="6.7109375" style="4" customWidth="1"/>
    <col min="11541" max="11541" width="5.5703125" style="4" customWidth="1"/>
    <col min="11542" max="11559" width="6.7109375" style="4" customWidth="1"/>
    <col min="11560" max="11581" width="11.42578125" style="4" customWidth="1"/>
    <col min="11582" max="11776" width="11.42578125" style="4"/>
    <col min="11777" max="11777" width="36.7109375" style="4" customWidth="1"/>
    <col min="11778" max="11778" width="4.7109375" style="4" bestFit="1" customWidth="1"/>
    <col min="11779" max="11779" width="14.42578125" style="4" customWidth="1"/>
    <col min="11780" max="11780" width="13.7109375" style="4" customWidth="1"/>
    <col min="11781" max="11781" width="35.28515625" style="4" customWidth="1"/>
    <col min="11782" max="11782" width="11.5703125" style="4" customWidth="1"/>
    <col min="11783" max="11783" width="9.28515625" style="4" customWidth="1"/>
    <col min="11784" max="11784" width="5.85546875" style="4" customWidth="1"/>
    <col min="11785" max="11788" width="2.85546875" style="4" customWidth="1"/>
    <col min="11789" max="11789" width="6.28515625" style="4" customWidth="1"/>
    <col min="11790" max="11790" width="3.42578125" style="4" customWidth="1"/>
    <col min="11791" max="11791" width="3.28515625" style="4" customWidth="1"/>
    <col min="11792" max="11792" width="3.140625" style="4" customWidth="1"/>
    <col min="11793" max="11796" width="6.7109375" style="4" customWidth="1"/>
    <col min="11797" max="11797" width="5.5703125" style="4" customWidth="1"/>
    <col min="11798" max="11815" width="6.7109375" style="4" customWidth="1"/>
    <col min="11816" max="11837" width="11.42578125" style="4" customWidth="1"/>
    <col min="11838" max="12032" width="11.42578125" style="4"/>
    <col min="12033" max="12033" width="36.7109375" style="4" customWidth="1"/>
    <col min="12034" max="12034" width="4.7109375" style="4" bestFit="1" customWidth="1"/>
    <col min="12035" max="12035" width="14.42578125" style="4" customWidth="1"/>
    <col min="12036" max="12036" width="13.7109375" style="4" customWidth="1"/>
    <col min="12037" max="12037" width="35.28515625" style="4" customWidth="1"/>
    <col min="12038" max="12038" width="11.5703125" style="4" customWidth="1"/>
    <col min="12039" max="12039" width="9.28515625" style="4" customWidth="1"/>
    <col min="12040" max="12040" width="5.85546875" style="4" customWidth="1"/>
    <col min="12041" max="12044" width="2.85546875" style="4" customWidth="1"/>
    <col min="12045" max="12045" width="6.28515625" style="4" customWidth="1"/>
    <col min="12046" max="12046" width="3.42578125" style="4" customWidth="1"/>
    <col min="12047" max="12047" width="3.28515625" style="4" customWidth="1"/>
    <col min="12048" max="12048" width="3.140625" style="4" customWidth="1"/>
    <col min="12049" max="12052" width="6.7109375" style="4" customWidth="1"/>
    <col min="12053" max="12053" width="5.5703125" style="4" customWidth="1"/>
    <col min="12054" max="12071" width="6.7109375" style="4" customWidth="1"/>
    <col min="12072" max="12093" width="11.42578125" style="4" customWidth="1"/>
    <col min="12094" max="12288" width="11.42578125" style="4"/>
    <col min="12289" max="12289" width="36.7109375" style="4" customWidth="1"/>
    <col min="12290" max="12290" width="4.7109375" style="4" bestFit="1" customWidth="1"/>
    <col min="12291" max="12291" width="14.42578125" style="4" customWidth="1"/>
    <col min="12292" max="12292" width="13.7109375" style="4" customWidth="1"/>
    <col min="12293" max="12293" width="35.28515625" style="4" customWidth="1"/>
    <col min="12294" max="12294" width="11.5703125" style="4" customWidth="1"/>
    <col min="12295" max="12295" width="9.28515625" style="4" customWidth="1"/>
    <col min="12296" max="12296" width="5.85546875" style="4" customWidth="1"/>
    <col min="12297" max="12300" width="2.85546875" style="4" customWidth="1"/>
    <col min="12301" max="12301" width="6.28515625" style="4" customWidth="1"/>
    <col min="12302" max="12302" width="3.42578125" style="4" customWidth="1"/>
    <col min="12303" max="12303" width="3.28515625" style="4" customWidth="1"/>
    <col min="12304" max="12304" width="3.140625" style="4" customWidth="1"/>
    <col min="12305" max="12308" width="6.7109375" style="4" customWidth="1"/>
    <col min="12309" max="12309" width="5.5703125" style="4" customWidth="1"/>
    <col min="12310" max="12327" width="6.7109375" style="4" customWidth="1"/>
    <col min="12328" max="12349" width="11.42578125" style="4" customWidth="1"/>
    <col min="12350" max="12544" width="11.42578125" style="4"/>
    <col min="12545" max="12545" width="36.7109375" style="4" customWidth="1"/>
    <col min="12546" max="12546" width="4.7109375" style="4" bestFit="1" customWidth="1"/>
    <col min="12547" max="12547" width="14.42578125" style="4" customWidth="1"/>
    <col min="12548" max="12548" width="13.7109375" style="4" customWidth="1"/>
    <col min="12549" max="12549" width="35.28515625" style="4" customWidth="1"/>
    <col min="12550" max="12550" width="11.5703125" style="4" customWidth="1"/>
    <col min="12551" max="12551" width="9.28515625" style="4" customWidth="1"/>
    <col min="12552" max="12552" width="5.85546875" style="4" customWidth="1"/>
    <col min="12553" max="12556" width="2.85546875" style="4" customWidth="1"/>
    <col min="12557" max="12557" width="6.28515625" style="4" customWidth="1"/>
    <col min="12558" max="12558" width="3.42578125" style="4" customWidth="1"/>
    <col min="12559" max="12559" width="3.28515625" style="4" customWidth="1"/>
    <col min="12560" max="12560" width="3.140625" style="4" customWidth="1"/>
    <col min="12561" max="12564" width="6.7109375" style="4" customWidth="1"/>
    <col min="12565" max="12565" width="5.5703125" style="4" customWidth="1"/>
    <col min="12566" max="12583" width="6.7109375" style="4" customWidth="1"/>
    <col min="12584" max="12605" width="11.42578125" style="4" customWidth="1"/>
    <col min="12606" max="12800" width="11.42578125" style="4"/>
    <col min="12801" max="12801" width="36.7109375" style="4" customWidth="1"/>
    <col min="12802" max="12802" width="4.7109375" style="4" bestFit="1" customWidth="1"/>
    <col min="12803" max="12803" width="14.42578125" style="4" customWidth="1"/>
    <col min="12804" max="12804" width="13.7109375" style="4" customWidth="1"/>
    <col min="12805" max="12805" width="35.28515625" style="4" customWidth="1"/>
    <col min="12806" max="12806" width="11.5703125" style="4" customWidth="1"/>
    <col min="12807" max="12807" width="9.28515625" style="4" customWidth="1"/>
    <col min="12808" max="12808" width="5.85546875" style="4" customWidth="1"/>
    <col min="12809" max="12812" width="2.85546875" style="4" customWidth="1"/>
    <col min="12813" max="12813" width="6.28515625" style="4" customWidth="1"/>
    <col min="12814" max="12814" width="3.42578125" style="4" customWidth="1"/>
    <col min="12815" max="12815" width="3.28515625" style="4" customWidth="1"/>
    <col min="12816" max="12816" width="3.140625" style="4" customWidth="1"/>
    <col min="12817" max="12820" width="6.7109375" style="4" customWidth="1"/>
    <col min="12821" max="12821" width="5.5703125" style="4" customWidth="1"/>
    <col min="12822" max="12839" width="6.7109375" style="4" customWidth="1"/>
    <col min="12840" max="12861" width="11.42578125" style="4" customWidth="1"/>
    <col min="12862" max="13056" width="11.42578125" style="4"/>
    <col min="13057" max="13057" width="36.7109375" style="4" customWidth="1"/>
    <col min="13058" max="13058" width="4.7109375" style="4" bestFit="1" customWidth="1"/>
    <col min="13059" max="13059" width="14.42578125" style="4" customWidth="1"/>
    <col min="13060" max="13060" width="13.7109375" style="4" customWidth="1"/>
    <col min="13061" max="13061" width="35.28515625" style="4" customWidth="1"/>
    <col min="13062" max="13062" width="11.5703125" style="4" customWidth="1"/>
    <col min="13063" max="13063" width="9.28515625" style="4" customWidth="1"/>
    <col min="13064" max="13064" width="5.85546875" style="4" customWidth="1"/>
    <col min="13065" max="13068" width="2.85546875" style="4" customWidth="1"/>
    <col min="13069" max="13069" width="6.28515625" style="4" customWidth="1"/>
    <col min="13070" max="13070" width="3.42578125" style="4" customWidth="1"/>
    <col min="13071" max="13071" width="3.28515625" style="4" customWidth="1"/>
    <col min="13072" max="13072" width="3.140625" style="4" customWidth="1"/>
    <col min="13073" max="13076" width="6.7109375" style="4" customWidth="1"/>
    <col min="13077" max="13077" width="5.5703125" style="4" customWidth="1"/>
    <col min="13078" max="13095" width="6.7109375" style="4" customWidth="1"/>
    <col min="13096" max="13117" width="11.42578125" style="4" customWidth="1"/>
    <col min="13118" max="13312" width="11.42578125" style="4"/>
    <col min="13313" max="13313" width="36.7109375" style="4" customWidth="1"/>
    <col min="13314" max="13314" width="4.7109375" style="4" bestFit="1" customWidth="1"/>
    <col min="13315" max="13315" width="14.42578125" style="4" customWidth="1"/>
    <col min="13316" max="13316" width="13.7109375" style="4" customWidth="1"/>
    <col min="13317" max="13317" width="35.28515625" style="4" customWidth="1"/>
    <col min="13318" max="13318" width="11.5703125" style="4" customWidth="1"/>
    <col min="13319" max="13319" width="9.28515625" style="4" customWidth="1"/>
    <col min="13320" max="13320" width="5.85546875" style="4" customWidth="1"/>
    <col min="13321" max="13324" width="2.85546875" style="4" customWidth="1"/>
    <col min="13325" max="13325" width="6.28515625" style="4" customWidth="1"/>
    <col min="13326" max="13326" width="3.42578125" style="4" customWidth="1"/>
    <col min="13327" max="13327" width="3.28515625" style="4" customWidth="1"/>
    <col min="13328" max="13328" width="3.140625" style="4" customWidth="1"/>
    <col min="13329" max="13332" width="6.7109375" style="4" customWidth="1"/>
    <col min="13333" max="13333" width="5.5703125" style="4" customWidth="1"/>
    <col min="13334" max="13351" width="6.7109375" style="4" customWidth="1"/>
    <col min="13352" max="13373" width="11.42578125" style="4" customWidth="1"/>
    <col min="13374" max="13568" width="11.42578125" style="4"/>
    <col min="13569" max="13569" width="36.7109375" style="4" customWidth="1"/>
    <col min="13570" max="13570" width="4.7109375" style="4" bestFit="1" customWidth="1"/>
    <col min="13571" max="13571" width="14.42578125" style="4" customWidth="1"/>
    <col min="13572" max="13572" width="13.7109375" style="4" customWidth="1"/>
    <col min="13573" max="13573" width="35.28515625" style="4" customWidth="1"/>
    <col min="13574" max="13574" width="11.5703125" style="4" customWidth="1"/>
    <col min="13575" max="13575" width="9.28515625" style="4" customWidth="1"/>
    <col min="13576" max="13576" width="5.85546875" style="4" customWidth="1"/>
    <col min="13577" max="13580" width="2.85546875" style="4" customWidth="1"/>
    <col min="13581" max="13581" width="6.28515625" style="4" customWidth="1"/>
    <col min="13582" max="13582" width="3.42578125" style="4" customWidth="1"/>
    <col min="13583" max="13583" width="3.28515625" style="4" customWidth="1"/>
    <col min="13584" max="13584" width="3.140625" style="4" customWidth="1"/>
    <col min="13585" max="13588" width="6.7109375" style="4" customWidth="1"/>
    <col min="13589" max="13589" width="5.5703125" style="4" customWidth="1"/>
    <col min="13590" max="13607" width="6.7109375" style="4" customWidth="1"/>
    <col min="13608" max="13629" width="11.42578125" style="4" customWidth="1"/>
    <col min="13630" max="13824" width="11.42578125" style="4"/>
    <col min="13825" max="13825" width="36.7109375" style="4" customWidth="1"/>
    <col min="13826" max="13826" width="4.7109375" style="4" bestFit="1" customWidth="1"/>
    <col min="13827" max="13827" width="14.42578125" style="4" customWidth="1"/>
    <col min="13828" max="13828" width="13.7109375" style="4" customWidth="1"/>
    <col min="13829" max="13829" width="35.28515625" style="4" customWidth="1"/>
    <col min="13830" max="13830" width="11.5703125" style="4" customWidth="1"/>
    <col min="13831" max="13831" width="9.28515625" style="4" customWidth="1"/>
    <col min="13832" max="13832" width="5.85546875" style="4" customWidth="1"/>
    <col min="13833" max="13836" width="2.85546875" style="4" customWidth="1"/>
    <col min="13837" max="13837" width="6.28515625" style="4" customWidth="1"/>
    <col min="13838" max="13838" width="3.42578125" style="4" customWidth="1"/>
    <col min="13839" max="13839" width="3.28515625" style="4" customWidth="1"/>
    <col min="13840" max="13840" width="3.140625" style="4" customWidth="1"/>
    <col min="13841" max="13844" width="6.7109375" style="4" customWidth="1"/>
    <col min="13845" max="13845" width="5.5703125" style="4" customWidth="1"/>
    <col min="13846" max="13863" width="6.7109375" style="4" customWidth="1"/>
    <col min="13864" max="13885" width="11.42578125" style="4" customWidth="1"/>
    <col min="13886" max="14080" width="11.42578125" style="4"/>
    <col min="14081" max="14081" width="36.7109375" style="4" customWidth="1"/>
    <col min="14082" max="14082" width="4.7109375" style="4" bestFit="1" customWidth="1"/>
    <col min="14083" max="14083" width="14.42578125" style="4" customWidth="1"/>
    <col min="14084" max="14084" width="13.7109375" style="4" customWidth="1"/>
    <col min="14085" max="14085" width="35.28515625" style="4" customWidth="1"/>
    <col min="14086" max="14086" width="11.5703125" style="4" customWidth="1"/>
    <col min="14087" max="14087" width="9.28515625" style="4" customWidth="1"/>
    <col min="14088" max="14088" width="5.85546875" style="4" customWidth="1"/>
    <col min="14089" max="14092" width="2.85546875" style="4" customWidth="1"/>
    <col min="14093" max="14093" width="6.28515625" style="4" customWidth="1"/>
    <col min="14094" max="14094" width="3.42578125" style="4" customWidth="1"/>
    <col min="14095" max="14095" width="3.28515625" style="4" customWidth="1"/>
    <col min="14096" max="14096" width="3.140625" style="4" customWidth="1"/>
    <col min="14097" max="14100" width="6.7109375" style="4" customWidth="1"/>
    <col min="14101" max="14101" width="5.5703125" style="4" customWidth="1"/>
    <col min="14102" max="14119" width="6.7109375" style="4" customWidth="1"/>
    <col min="14120" max="14141" width="11.42578125" style="4" customWidth="1"/>
    <col min="14142" max="14336" width="11.42578125" style="4"/>
    <col min="14337" max="14337" width="36.7109375" style="4" customWidth="1"/>
    <col min="14338" max="14338" width="4.7109375" style="4" bestFit="1" customWidth="1"/>
    <col min="14339" max="14339" width="14.42578125" style="4" customWidth="1"/>
    <col min="14340" max="14340" width="13.7109375" style="4" customWidth="1"/>
    <col min="14341" max="14341" width="35.28515625" style="4" customWidth="1"/>
    <col min="14342" max="14342" width="11.5703125" style="4" customWidth="1"/>
    <col min="14343" max="14343" width="9.28515625" style="4" customWidth="1"/>
    <col min="14344" max="14344" width="5.85546875" style="4" customWidth="1"/>
    <col min="14345" max="14348" width="2.85546875" style="4" customWidth="1"/>
    <col min="14349" max="14349" width="6.28515625" style="4" customWidth="1"/>
    <col min="14350" max="14350" width="3.42578125" style="4" customWidth="1"/>
    <col min="14351" max="14351" width="3.28515625" style="4" customWidth="1"/>
    <col min="14352" max="14352" width="3.140625" style="4" customWidth="1"/>
    <col min="14353" max="14356" width="6.7109375" style="4" customWidth="1"/>
    <col min="14357" max="14357" width="5.5703125" style="4" customWidth="1"/>
    <col min="14358" max="14375" width="6.7109375" style="4" customWidth="1"/>
    <col min="14376" max="14397" width="11.42578125" style="4" customWidth="1"/>
    <col min="14398" max="14592" width="11.42578125" style="4"/>
    <col min="14593" max="14593" width="36.7109375" style="4" customWidth="1"/>
    <col min="14594" max="14594" width="4.7109375" style="4" bestFit="1" customWidth="1"/>
    <col min="14595" max="14595" width="14.42578125" style="4" customWidth="1"/>
    <col min="14596" max="14596" width="13.7109375" style="4" customWidth="1"/>
    <col min="14597" max="14597" width="35.28515625" style="4" customWidth="1"/>
    <col min="14598" max="14598" width="11.5703125" style="4" customWidth="1"/>
    <col min="14599" max="14599" width="9.28515625" style="4" customWidth="1"/>
    <col min="14600" max="14600" width="5.85546875" style="4" customWidth="1"/>
    <col min="14601" max="14604" width="2.85546875" style="4" customWidth="1"/>
    <col min="14605" max="14605" width="6.28515625" style="4" customWidth="1"/>
    <col min="14606" max="14606" width="3.42578125" style="4" customWidth="1"/>
    <col min="14607" max="14607" width="3.28515625" style="4" customWidth="1"/>
    <col min="14608" max="14608" width="3.140625" style="4" customWidth="1"/>
    <col min="14609" max="14612" width="6.7109375" style="4" customWidth="1"/>
    <col min="14613" max="14613" width="5.5703125" style="4" customWidth="1"/>
    <col min="14614" max="14631" width="6.7109375" style="4" customWidth="1"/>
    <col min="14632" max="14653" width="11.42578125" style="4" customWidth="1"/>
    <col min="14654" max="14848" width="11.42578125" style="4"/>
    <col min="14849" max="14849" width="36.7109375" style="4" customWidth="1"/>
    <col min="14850" max="14850" width="4.7109375" style="4" bestFit="1" customWidth="1"/>
    <col min="14851" max="14851" width="14.42578125" style="4" customWidth="1"/>
    <col min="14852" max="14852" width="13.7109375" style="4" customWidth="1"/>
    <col min="14853" max="14853" width="35.28515625" style="4" customWidth="1"/>
    <col min="14854" max="14854" width="11.5703125" style="4" customWidth="1"/>
    <col min="14855" max="14855" width="9.28515625" style="4" customWidth="1"/>
    <col min="14856" max="14856" width="5.85546875" style="4" customWidth="1"/>
    <col min="14857" max="14860" width="2.85546875" style="4" customWidth="1"/>
    <col min="14861" max="14861" width="6.28515625" style="4" customWidth="1"/>
    <col min="14862" max="14862" width="3.42578125" style="4" customWidth="1"/>
    <col min="14863" max="14863" width="3.28515625" style="4" customWidth="1"/>
    <col min="14864" max="14864" width="3.140625" style="4" customWidth="1"/>
    <col min="14865" max="14868" width="6.7109375" style="4" customWidth="1"/>
    <col min="14869" max="14869" width="5.5703125" style="4" customWidth="1"/>
    <col min="14870" max="14887" width="6.7109375" style="4" customWidth="1"/>
    <col min="14888" max="14909" width="11.42578125" style="4" customWidth="1"/>
    <col min="14910" max="15104" width="11.42578125" style="4"/>
    <col min="15105" max="15105" width="36.7109375" style="4" customWidth="1"/>
    <col min="15106" max="15106" width="4.7109375" style="4" bestFit="1" customWidth="1"/>
    <col min="15107" max="15107" width="14.42578125" style="4" customWidth="1"/>
    <col min="15108" max="15108" width="13.7109375" style="4" customWidth="1"/>
    <col min="15109" max="15109" width="35.28515625" style="4" customWidth="1"/>
    <col min="15110" max="15110" width="11.5703125" style="4" customWidth="1"/>
    <col min="15111" max="15111" width="9.28515625" style="4" customWidth="1"/>
    <col min="15112" max="15112" width="5.85546875" style="4" customWidth="1"/>
    <col min="15113" max="15116" width="2.85546875" style="4" customWidth="1"/>
    <col min="15117" max="15117" width="6.28515625" style="4" customWidth="1"/>
    <col min="15118" max="15118" width="3.42578125" style="4" customWidth="1"/>
    <col min="15119" max="15119" width="3.28515625" style="4" customWidth="1"/>
    <col min="15120" max="15120" width="3.140625" style="4" customWidth="1"/>
    <col min="15121" max="15124" width="6.7109375" style="4" customWidth="1"/>
    <col min="15125" max="15125" width="5.5703125" style="4" customWidth="1"/>
    <col min="15126" max="15143" width="6.7109375" style="4" customWidth="1"/>
    <col min="15144" max="15165" width="11.42578125" style="4" customWidth="1"/>
    <col min="15166" max="15360" width="11.42578125" style="4"/>
    <col min="15361" max="15361" width="36.7109375" style="4" customWidth="1"/>
    <col min="15362" max="15362" width="4.7109375" style="4" bestFit="1" customWidth="1"/>
    <col min="15363" max="15363" width="14.42578125" style="4" customWidth="1"/>
    <col min="15364" max="15364" width="13.7109375" style="4" customWidth="1"/>
    <col min="15365" max="15365" width="35.28515625" style="4" customWidth="1"/>
    <col min="15366" max="15366" width="11.5703125" style="4" customWidth="1"/>
    <col min="15367" max="15367" width="9.28515625" style="4" customWidth="1"/>
    <col min="15368" max="15368" width="5.85546875" style="4" customWidth="1"/>
    <col min="15369" max="15372" width="2.85546875" style="4" customWidth="1"/>
    <col min="15373" max="15373" width="6.28515625" style="4" customWidth="1"/>
    <col min="15374" max="15374" width="3.42578125" style="4" customWidth="1"/>
    <col min="15375" max="15375" width="3.28515625" style="4" customWidth="1"/>
    <col min="15376" max="15376" width="3.140625" style="4" customWidth="1"/>
    <col min="15377" max="15380" width="6.7109375" style="4" customWidth="1"/>
    <col min="15381" max="15381" width="5.5703125" style="4" customWidth="1"/>
    <col min="15382" max="15399" width="6.7109375" style="4" customWidth="1"/>
    <col min="15400" max="15421" width="11.42578125" style="4" customWidth="1"/>
    <col min="15422" max="15616" width="11.42578125" style="4"/>
    <col min="15617" max="15617" width="36.7109375" style="4" customWidth="1"/>
    <col min="15618" max="15618" width="4.7109375" style="4" bestFit="1" customWidth="1"/>
    <col min="15619" max="15619" width="14.42578125" style="4" customWidth="1"/>
    <col min="15620" max="15620" width="13.7109375" style="4" customWidth="1"/>
    <col min="15621" max="15621" width="35.28515625" style="4" customWidth="1"/>
    <col min="15622" max="15622" width="11.5703125" style="4" customWidth="1"/>
    <col min="15623" max="15623" width="9.28515625" style="4" customWidth="1"/>
    <col min="15624" max="15624" width="5.85546875" style="4" customWidth="1"/>
    <col min="15625" max="15628" width="2.85546875" style="4" customWidth="1"/>
    <col min="15629" max="15629" width="6.28515625" style="4" customWidth="1"/>
    <col min="15630" max="15630" width="3.42578125" style="4" customWidth="1"/>
    <col min="15631" max="15631" width="3.28515625" style="4" customWidth="1"/>
    <col min="15632" max="15632" width="3.140625" style="4" customWidth="1"/>
    <col min="15633" max="15636" width="6.7109375" style="4" customWidth="1"/>
    <col min="15637" max="15637" width="5.5703125" style="4" customWidth="1"/>
    <col min="15638" max="15655" width="6.7109375" style="4" customWidth="1"/>
    <col min="15656" max="15677" width="11.42578125" style="4" customWidth="1"/>
    <col min="15678" max="15872" width="11.42578125" style="4"/>
    <col min="15873" max="15873" width="36.7109375" style="4" customWidth="1"/>
    <col min="15874" max="15874" width="4.7109375" style="4" bestFit="1" customWidth="1"/>
    <col min="15875" max="15875" width="14.42578125" style="4" customWidth="1"/>
    <col min="15876" max="15876" width="13.7109375" style="4" customWidth="1"/>
    <col min="15877" max="15877" width="35.28515625" style="4" customWidth="1"/>
    <col min="15878" max="15878" width="11.5703125" style="4" customWidth="1"/>
    <col min="15879" max="15879" width="9.28515625" style="4" customWidth="1"/>
    <col min="15880" max="15880" width="5.85546875" style="4" customWidth="1"/>
    <col min="15881" max="15884" width="2.85546875" style="4" customWidth="1"/>
    <col min="15885" max="15885" width="6.28515625" style="4" customWidth="1"/>
    <col min="15886" max="15886" width="3.42578125" style="4" customWidth="1"/>
    <col min="15887" max="15887" width="3.28515625" style="4" customWidth="1"/>
    <col min="15888" max="15888" width="3.140625" style="4" customWidth="1"/>
    <col min="15889" max="15892" width="6.7109375" style="4" customWidth="1"/>
    <col min="15893" max="15893" width="5.5703125" style="4" customWidth="1"/>
    <col min="15894" max="15911" width="6.7109375" style="4" customWidth="1"/>
    <col min="15912" max="15933" width="11.42578125" style="4" customWidth="1"/>
    <col min="15934" max="16128" width="11.42578125" style="4"/>
    <col min="16129" max="16129" width="36.7109375" style="4" customWidth="1"/>
    <col min="16130" max="16130" width="4.7109375" style="4" bestFit="1" customWidth="1"/>
    <col min="16131" max="16131" width="14.42578125" style="4" customWidth="1"/>
    <col min="16132" max="16132" width="13.7109375" style="4" customWidth="1"/>
    <col min="16133" max="16133" width="35.28515625" style="4" customWidth="1"/>
    <col min="16134" max="16134" width="11.5703125" style="4" customWidth="1"/>
    <col min="16135" max="16135" width="9.28515625" style="4" customWidth="1"/>
    <col min="16136" max="16136" width="5.85546875" style="4" customWidth="1"/>
    <col min="16137" max="16140" width="2.85546875" style="4" customWidth="1"/>
    <col min="16141" max="16141" width="6.28515625" style="4" customWidth="1"/>
    <col min="16142" max="16142" width="3.42578125" style="4" customWidth="1"/>
    <col min="16143" max="16143" width="3.28515625" style="4" customWidth="1"/>
    <col min="16144" max="16144" width="3.140625" style="4" customWidth="1"/>
    <col min="16145" max="16148" width="6.7109375" style="4" customWidth="1"/>
    <col min="16149" max="16149" width="5.5703125" style="4" customWidth="1"/>
    <col min="16150" max="16167" width="6.7109375" style="4" customWidth="1"/>
    <col min="16168" max="16189" width="11.42578125" style="4" customWidth="1"/>
    <col min="16190" max="16384" width="11.42578125" style="4"/>
  </cols>
  <sheetData>
    <row r="1" spans="1:15" ht="76.900000000000006" customHeight="1"/>
    <row r="2" spans="1:15" s="130" customFormat="1" ht="41.45" customHeight="1">
      <c r="A2" s="126"/>
      <c r="B2" s="127"/>
      <c r="C2" s="99"/>
      <c r="D2" s="99"/>
      <c r="E2" s="128"/>
      <c r="F2" s="126"/>
      <c r="G2" s="129"/>
      <c r="H2" s="126"/>
      <c r="M2" s="126"/>
    </row>
    <row r="3" spans="1:15" s="133" customFormat="1" ht="30" customHeight="1">
      <c r="A3" s="520" t="str">
        <f>IF($C$15=1,"Ermittlung Schnittgrößen und Spannungen",M3)</f>
        <v>Ermittlung Schnittgrößen und Spannungen</v>
      </c>
      <c r="B3" s="520"/>
      <c r="C3" s="520"/>
      <c r="D3" s="520"/>
      <c r="E3" s="520"/>
      <c r="F3" s="131"/>
      <c r="G3" s="131"/>
      <c r="H3" s="520" t="s">
        <v>341</v>
      </c>
      <c r="I3" s="520"/>
      <c r="J3" s="520"/>
      <c r="K3" s="520"/>
      <c r="L3" s="520"/>
      <c r="M3" s="132" t="s">
        <v>342</v>
      </c>
      <c r="N3" s="132"/>
      <c r="O3" s="132"/>
    </row>
    <row r="4" spans="1:15" s="133" customFormat="1" ht="30" customHeight="1">
      <c r="A4" s="521" t="str">
        <f>IF($C$15=1,H4,M4)</f>
        <v>von Sandwichbauteilen nach DIN EN 14509</v>
      </c>
      <c r="B4" s="521"/>
      <c r="C4" s="521"/>
      <c r="D4" s="521"/>
      <c r="E4" s="521"/>
      <c r="F4" s="131"/>
      <c r="G4" s="131"/>
      <c r="H4" s="521" t="s">
        <v>390</v>
      </c>
      <c r="I4" s="521"/>
      <c r="J4" s="521"/>
      <c r="K4" s="521"/>
      <c r="L4" s="521"/>
      <c r="M4" s="134" t="s">
        <v>391</v>
      </c>
      <c r="N4" s="134"/>
      <c r="O4" s="134"/>
    </row>
    <row r="5" spans="1:15" s="130" customFormat="1" ht="26.45" customHeight="1">
      <c r="A5" s="126"/>
      <c r="B5" s="127"/>
      <c r="C5" s="99"/>
      <c r="D5" s="99"/>
      <c r="E5" s="128"/>
      <c r="F5" s="126"/>
      <c r="G5" s="129"/>
      <c r="H5" s="126"/>
      <c r="M5" s="126"/>
    </row>
    <row r="6" spans="1:15" s="130" customFormat="1">
      <c r="B6" s="135"/>
      <c r="C6" s="99"/>
      <c r="D6" s="99"/>
      <c r="E6" s="128"/>
      <c r="F6" s="129"/>
      <c r="G6" s="129"/>
    </row>
    <row r="7" spans="1:15" s="130" customFormat="1">
      <c r="A7" s="2" t="str">
        <f>IF($C$15=1,H7,M7)</f>
        <v>Voraussetzungen</v>
      </c>
      <c r="B7" s="136"/>
      <c r="C7" s="130" t="str">
        <f t="shared" ref="C7:C13" si="0">IF($C$15=1,J7,O7)</f>
        <v>- beidseitig ebene bzw. quasi-ebene Deckschichten</v>
      </c>
      <c r="D7" s="99"/>
      <c r="F7" s="129"/>
      <c r="G7" s="129"/>
      <c r="H7" s="137" t="s">
        <v>177</v>
      </c>
      <c r="I7" s="137"/>
      <c r="J7" s="138" t="str">
        <f>"- beidseitig ebene bzw. quasi-ebene Deckschichten"</f>
        <v>- beidseitig ebene bzw. quasi-ebene Deckschichten</v>
      </c>
      <c r="K7" s="137"/>
      <c r="L7" s="137"/>
      <c r="M7" s="137" t="s">
        <v>2</v>
      </c>
      <c r="O7" s="130" t="str">
        <f>"- flat or lightly profiled facing on both sides"</f>
        <v>- flat or lightly profiled facing on both sides</v>
      </c>
    </row>
    <row r="8" spans="1:15" s="130" customFormat="1">
      <c r="B8" s="135"/>
      <c r="C8" s="130" t="str">
        <f t="shared" si="0"/>
        <v>- ein Feld oder zwei Felder mit gleichen Stützweiten</v>
      </c>
      <c r="D8" s="99"/>
      <c r="F8" s="129"/>
      <c r="G8" s="129"/>
      <c r="J8" s="138" t="str">
        <f>"- ein Feld oder zwei Felder mit gleichen Stützweiten"</f>
        <v>- ein Feld oder zwei Felder mit gleichen Stützweiten</v>
      </c>
      <c r="O8" s="130" t="str">
        <f>"- single span or two spans with eausl span width"</f>
        <v>- single span or two spans with eausl span width</v>
      </c>
    </row>
    <row r="9" spans="1:15" s="130" customFormat="1">
      <c r="B9" s="135"/>
      <c r="C9" s="130" t="str">
        <f t="shared" si="0"/>
        <v>- Bezeichnungen nach ECCS-Recommendations for Sandwich-Panels</v>
      </c>
      <c r="D9" s="99"/>
      <c r="F9" s="129"/>
      <c r="G9" s="129"/>
      <c r="J9" s="138" t="str">
        <f>"- Bezeichnungen nach ECCS-Recommendations for Sandwich-Panels"</f>
        <v>- Bezeichnungen nach ECCS-Recommendations for Sandwich-Panels</v>
      </c>
      <c r="O9" s="130" t="str">
        <f>"- notations according to ECCS-Recommendations for Sandwichpanels"</f>
        <v>- notations according to ECCS-Recommendations for Sandwichpanels</v>
      </c>
    </row>
    <row r="10" spans="1:15" s="130" customFormat="1">
      <c r="B10" s="135"/>
      <c r="C10" s="130" t="str">
        <f t="shared" si="0"/>
        <v xml:space="preserve">  (Bericht 23.10.2000)</v>
      </c>
      <c r="D10" s="99"/>
      <c r="F10" s="129"/>
      <c r="G10" s="129"/>
      <c r="J10" s="138" t="str">
        <f>"  (Bericht 23.10.2000)"</f>
        <v xml:space="preserve">  (Bericht 23.10.2000)</v>
      </c>
      <c r="O10" s="130" t="str">
        <f>"- report from 23.10.2000"</f>
        <v>- report from 23.10.2000</v>
      </c>
    </row>
    <row r="11" spans="1:15" s="130" customFormat="1">
      <c r="B11" s="135"/>
      <c r="C11" s="130" t="str">
        <f t="shared" si="0"/>
        <v>- Berechnungsbreite B = 1 m = 1000 mm</v>
      </c>
      <c r="D11" s="99"/>
      <c r="F11" s="129"/>
      <c r="G11" s="129"/>
      <c r="J11" s="138" t="str">
        <f>"- Berechnungsbreite B = 1 m = 1000 mm"</f>
        <v>- Berechnungsbreite B = 1 m = 1000 mm</v>
      </c>
      <c r="O11" s="130" t="str">
        <f>"- width for calculation B = 1 m = 1000 mm"</f>
        <v>- width for calculation B = 1 m = 1000 mm</v>
      </c>
    </row>
    <row r="12" spans="1:15" s="130" customFormat="1">
      <c r="B12" s="135"/>
      <c r="C12" s="130" t="str">
        <f t="shared" si="0"/>
        <v>- analytische (genaue) Lösung für Schnittgrößen</v>
      </c>
      <c r="D12" s="99"/>
      <c r="F12" s="129"/>
      <c r="G12" s="129"/>
      <c r="J12" s="138" t="str">
        <f>"- analytische (genaue) Lösung für Schnittgrößen"</f>
        <v>- analytische (genaue) Lösung für Schnittgrößen</v>
      </c>
      <c r="O12" s="130" t="str">
        <f>"- analytic (exact) solution for the forces of inertia and the stresses"</f>
        <v>- analytic (exact) solution for the forces of inertia and the stresses</v>
      </c>
    </row>
    <row r="13" spans="1:15" s="130" customFormat="1">
      <c r="B13" s="135"/>
      <c r="C13" s="130" t="str">
        <f t="shared" si="0"/>
        <v>- Näherungslösung für Durchbiegungen am Zweifeldträger</v>
      </c>
      <c r="D13" s="99"/>
      <c r="F13" s="129"/>
      <c r="G13" s="129"/>
      <c r="J13" s="138" t="str">
        <f>"- Näherungslösung für Durchbiegungen am Zweifeldträger"</f>
        <v>- Näherungslösung für Durchbiegungen am Zweifeldträger</v>
      </c>
      <c r="O13" s="130" t="str">
        <f>"- approximate solution for defelction at two-span-panels"</f>
        <v>- approximate solution for defelction at two-span-panels</v>
      </c>
    </row>
    <row r="14" spans="1:15" s="130" customFormat="1" ht="157.15" customHeight="1">
      <c r="B14" s="135"/>
      <c r="C14" s="139"/>
      <c r="D14" s="99"/>
      <c r="E14" s="9"/>
      <c r="F14" s="129"/>
      <c r="G14" s="129"/>
    </row>
    <row r="15" spans="1:15" s="130" customFormat="1">
      <c r="A15" s="2" t="s">
        <v>3</v>
      </c>
      <c r="B15" s="31"/>
      <c r="C15" s="164">
        <f>'Eingabe - Input'!D22</f>
        <v>1</v>
      </c>
      <c r="D15" s="138"/>
      <c r="E15" s="139" t="s">
        <v>343</v>
      </c>
      <c r="F15" s="129"/>
      <c r="G15" s="129"/>
      <c r="H15" s="139" t="s">
        <v>115</v>
      </c>
    </row>
    <row r="16" spans="1:15" s="130" customFormat="1">
      <c r="A16" s="2"/>
      <c r="B16" s="31"/>
      <c r="C16" s="99"/>
      <c r="D16" s="138"/>
      <c r="E16" s="139"/>
      <c r="F16" s="129"/>
      <c r="G16" s="129"/>
    </row>
    <row r="17" spans="1:15">
      <c r="A17" s="2" t="str">
        <f t="shared" ref="A17:A21" si="1">IF($C$15=1,H17,M17)</f>
        <v>Querschnitts- und Materialkennwerte</v>
      </c>
      <c r="B17" s="31"/>
      <c r="H17" s="2" t="s">
        <v>94</v>
      </c>
      <c r="M17" s="2" t="s">
        <v>7</v>
      </c>
    </row>
    <row r="18" spans="1:15" ht="15">
      <c r="A18" s="4" t="str">
        <f t="shared" si="1"/>
        <v>Gesamtdicke</v>
      </c>
      <c r="B18" s="30" t="s">
        <v>8</v>
      </c>
      <c r="C18" s="163">
        <f>'Eingabe - Input'!D33</f>
        <v>80</v>
      </c>
      <c r="D18" s="7" t="s">
        <v>87</v>
      </c>
      <c r="H18" s="4" t="s">
        <v>10</v>
      </c>
      <c r="I18" s="4"/>
      <c r="J18" s="4"/>
      <c r="K18" s="4"/>
      <c r="L18" s="4"/>
      <c r="M18" s="17" t="s">
        <v>11</v>
      </c>
    </row>
    <row r="19" spans="1:15" ht="15.75">
      <c r="A19" s="4" t="str">
        <f t="shared" si="1"/>
        <v>Nennblechdicke außen</v>
      </c>
      <c r="B19" s="30" t="s">
        <v>344</v>
      </c>
      <c r="C19" s="163">
        <f>'Eingabe - Input'!D34</f>
        <v>0.6</v>
      </c>
      <c r="D19" s="7" t="s">
        <v>87</v>
      </c>
      <c r="H19" s="4" t="s">
        <v>12</v>
      </c>
      <c r="I19" s="4"/>
      <c r="J19" s="4"/>
      <c r="K19" s="4"/>
      <c r="L19" s="4"/>
      <c r="M19" s="17" t="s">
        <v>13</v>
      </c>
    </row>
    <row r="20" spans="1:15" ht="15.75">
      <c r="A20" s="4" t="str">
        <f t="shared" si="1"/>
        <v>Nennblechdicke innen</v>
      </c>
      <c r="B20" s="30" t="s">
        <v>345</v>
      </c>
      <c r="C20" s="163">
        <f>'Eingabe - Input'!D35</f>
        <v>0.5</v>
      </c>
      <c r="D20" s="7" t="s">
        <v>87</v>
      </c>
      <c r="H20" s="4" t="s">
        <v>27</v>
      </c>
      <c r="I20" s="4"/>
      <c r="J20" s="4"/>
      <c r="K20" s="4"/>
      <c r="L20" s="4"/>
      <c r="M20" s="17" t="s">
        <v>14</v>
      </c>
    </row>
    <row r="21" spans="1:15" ht="15">
      <c r="A21" s="4" t="str">
        <f t="shared" si="1"/>
        <v>Dicke der Zinkschicht</v>
      </c>
      <c r="C21" s="163">
        <f>'Eingabe - Input'!D36</f>
        <v>0.04</v>
      </c>
      <c r="D21" s="7" t="s">
        <v>87</v>
      </c>
      <c r="H21" s="4" t="s">
        <v>95</v>
      </c>
      <c r="I21" s="4"/>
      <c r="J21" s="4"/>
      <c r="K21" s="4"/>
      <c r="L21" s="4"/>
      <c r="M21" s="17" t="s">
        <v>5</v>
      </c>
    </row>
    <row r="23" spans="1:15">
      <c r="A23" s="140"/>
      <c r="B23" s="141"/>
      <c r="C23" s="142" t="s">
        <v>346</v>
      </c>
      <c r="D23" s="143" t="s">
        <v>347</v>
      </c>
      <c r="E23" s="144"/>
      <c r="N23" s="142" t="s">
        <v>348</v>
      </c>
      <c r="O23" s="143" t="s">
        <v>349</v>
      </c>
    </row>
    <row r="24" spans="1:15">
      <c r="A24" s="4" t="str">
        <f t="shared" ref="A24:A31" si="2">IF($C$15=1,H24,M24)</f>
        <v>Kernblechdicke</v>
      </c>
      <c r="C24" s="145">
        <f>C19-C21</f>
        <v>0.55999999999999994</v>
      </c>
      <c r="D24" s="8">
        <f>C20-C21</f>
        <v>0.46</v>
      </c>
      <c r="E24" s="4" t="s">
        <v>87</v>
      </c>
      <c r="H24" s="4" t="s">
        <v>88</v>
      </c>
      <c r="I24" s="4"/>
      <c r="J24" s="4"/>
      <c r="K24" s="4"/>
      <c r="L24" s="4"/>
      <c r="M24" s="17" t="s">
        <v>6</v>
      </c>
    </row>
    <row r="25" spans="1:15" ht="15.75">
      <c r="A25" s="4" t="str">
        <f>IF($C$15=1,H25,M25)</f>
        <v>Fläche der Deckschicht</v>
      </c>
      <c r="B25" s="30" t="s">
        <v>350</v>
      </c>
      <c r="C25" s="157">
        <f>'Eingabe - Input'!D42</f>
        <v>5.41</v>
      </c>
      <c r="D25" s="157">
        <f>'Eingabe - Input'!E42</f>
        <v>4.41</v>
      </c>
      <c r="E25" s="4" t="s">
        <v>351</v>
      </c>
      <c r="H25" s="4" t="s">
        <v>15</v>
      </c>
      <c r="I25" s="4"/>
      <c r="J25" s="4"/>
      <c r="K25" s="4"/>
      <c r="L25" s="4"/>
      <c r="M25" s="17" t="s">
        <v>16</v>
      </c>
    </row>
    <row r="26" spans="1:15" ht="15.75">
      <c r="A26" s="4" t="str">
        <f t="shared" si="2"/>
        <v>Trägheitsmoment der Deckschichten</v>
      </c>
      <c r="B26" s="146" t="s">
        <v>352</v>
      </c>
      <c r="C26" s="8">
        <v>0</v>
      </c>
      <c r="D26" s="8">
        <v>0</v>
      </c>
      <c r="E26" s="4" t="s">
        <v>353</v>
      </c>
      <c r="H26" s="4" t="s">
        <v>18</v>
      </c>
      <c r="I26" s="4"/>
      <c r="J26" s="4"/>
      <c r="K26" s="4"/>
      <c r="L26" s="4"/>
      <c r="M26" s="17" t="s">
        <v>17</v>
      </c>
    </row>
    <row r="27" spans="1:15" ht="15.75">
      <c r="A27" s="4" t="str">
        <f t="shared" si="2"/>
        <v>oberer Randabstand</v>
      </c>
      <c r="B27" s="30" t="s">
        <v>354</v>
      </c>
      <c r="C27" s="157">
        <f>'Eingabe - Input'!D44</f>
        <v>0.2</v>
      </c>
      <c r="D27" s="157">
        <f>'Eingabe - Input'!E44</f>
        <v>0.15</v>
      </c>
      <c r="E27" s="4" t="s">
        <v>87</v>
      </c>
      <c r="H27" s="4" t="s">
        <v>19</v>
      </c>
      <c r="I27" s="4"/>
      <c r="J27" s="4"/>
      <c r="K27" s="4"/>
      <c r="L27" s="4"/>
      <c r="M27" s="17" t="s">
        <v>355</v>
      </c>
    </row>
    <row r="28" spans="1:15" ht="15.75">
      <c r="A28" s="4" t="str">
        <f t="shared" si="2"/>
        <v>unterer Randabstand</v>
      </c>
      <c r="B28" s="30" t="s">
        <v>356</v>
      </c>
      <c r="C28" s="157">
        <f>'Eingabe - Input'!D45</f>
        <v>0.2</v>
      </c>
      <c r="D28" s="157">
        <f>'Eingabe - Input'!E45</f>
        <v>0.15</v>
      </c>
      <c r="E28" s="4" t="s">
        <v>87</v>
      </c>
      <c r="H28" s="4" t="s">
        <v>20</v>
      </c>
      <c r="I28" s="4"/>
      <c r="J28" s="4"/>
      <c r="K28" s="4"/>
      <c r="L28" s="4"/>
      <c r="M28" s="17" t="s">
        <v>357</v>
      </c>
    </row>
    <row r="29" spans="1:15" ht="15.75">
      <c r="A29" s="4" t="str">
        <f t="shared" si="2"/>
        <v>E-Modul</v>
      </c>
      <c r="B29" s="30" t="s">
        <v>358</v>
      </c>
      <c r="C29" s="158">
        <f>'Eingabe - Input'!D47</f>
        <v>210000</v>
      </c>
      <c r="D29" s="158">
        <f>'Eingabe - Input'!E47</f>
        <v>210000</v>
      </c>
      <c r="E29" s="4" t="s">
        <v>90</v>
      </c>
      <c r="H29" s="4" t="s">
        <v>89</v>
      </c>
      <c r="I29" s="4"/>
      <c r="J29" s="4"/>
      <c r="K29" s="4"/>
      <c r="L29" s="4"/>
      <c r="M29" s="4" t="s">
        <v>89</v>
      </c>
    </row>
    <row r="30" spans="1:15" ht="15.75">
      <c r="A30" s="4" t="str">
        <f t="shared" si="2"/>
        <v>Wärmeausdehnungskoeffizient</v>
      </c>
      <c r="B30" s="147" t="s">
        <v>359</v>
      </c>
      <c r="C30" s="158">
        <f>'Eingabe - Input'!D48</f>
        <v>1.2E-5</v>
      </c>
      <c r="D30" s="158">
        <f>'Eingabe - Input'!E48</f>
        <v>1.2E-5</v>
      </c>
      <c r="E30" s="4" t="s">
        <v>91</v>
      </c>
      <c r="H30" s="4" t="s">
        <v>22</v>
      </c>
      <c r="I30" s="4"/>
      <c r="J30" s="4"/>
      <c r="K30" s="4"/>
      <c r="L30" s="4"/>
      <c r="M30" s="17" t="s">
        <v>21</v>
      </c>
    </row>
    <row r="31" spans="1:15" ht="15.75">
      <c r="A31" s="4" t="str">
        <f t="shared" si="2"/>
        <v>Schubmodul</v>
      </c>
      <c r="B31" s="123" t="s">
        <v>409</v>
      </c>
      <c r="C31" s="159">
        <f>'Eingabe - Input'!$D$51/(1+'Eingabe - Input'!$M$52)</f>
        <v>1</v>
      </c>
      <c r="D31" s="148" t="s">
        <v>90</v>
      </c>
      <c r="H31" s="4" t="s">
        <v>23</v>
      </c>
      <c r="I31" s="4"/>
      <c r="J31" s="4"/>
      <c r="K31" s="4"/>
      <c r="L31" s="4"/>
      <c r="M31" s="17" t="s">
        <v>24</v>
      </c>
    </row>
    <row r="32" spans="1:15" ht="39" customHeight="1"/>
    <row r="33" spans="1:61">
      <c r="A33" s="2" t="str">
        <f t="shared" ref="A33:A36" si="3">IF($C$15=1,H33,M33)</f>
        <v>Statisches System und Grundlasten</v>
      </c>
      <c r="B33" s="31"/>
      <c r="H33" s="2" t="s">
        <v>263</v>
      </c>
      <c r="M33" s="2" t="s">
        <v>264</v>
      </c>
    </row>
    <row r="34" spans="1:61">
      <c r="A34" s="4" t="str">
        <f t="shared" si="3"/>
        <v>Anzahl Felder</v>
      </c>
      <c r="C34" s="160">
        <f>'Eingabe - Input'!M58</f>
        <v>2</v>
      </c>
      <c r="D34" s="4" t="str">
        <f>IF($C$15=1,K34,P34)</f>
        <v>Felder</v>
      </c>
      <c r="E34" s="9" t="str">
        <f>IF(AND(C34&lt;&gt;1,C34&lt;&gt;2),"Falsche Eingabe, nur 1 oder 2 Felder zulässig","")</f>
        <v/>
      </c>
      <c r="H34" s="4" t="s">
        <v>0</v>
      </c>
      <c r="K34" s="17" t="s">
        <v>96</v>
      </c>
      <c r="M34" s="17" t="s">
        <v>83</v>
      </c>
      <c r="P34" s="17" t="s">
        <v>86</v>
      </c>
    </row>
    <row r="35" spans="1:61">
      <c r="A35" s="4" t="str">
        <f t="shared" si="3"/>
        <v>Einzelstützweite</v>
      </c>
      <c r="B35" s="30" t="s">
        <v>25</v>
      </c>
      <c r="C35" s="161">
        <f>'Eingabe - Input'!M59</f>
        <v>2</v>
      </c>
      <c r="D35" s="7" t="s">
        <v>98</v>
      </c>
      <c r="E35" s="9" t="str">
        <f>IF(AND(C34=2,D26&lt;&gt;0),"Kombination nicht möglich, nachfolgende Ergebnise falsch","")</f>
        <v/>
      </c>
      <c r="H35" s="4" t="s">
        <v>26</v>
      </c>
      <c r="M35" s="17" t="s">
        <v>84</v>
      </c>
    </row>
    <row r="36" spans="1:61">
      <c r="A36" s="4" t="str">
        <f t="shared" si="3"/>
        <v>Gleichstreckenlast</v>
      </c>
      <c r="B36" s="30" t="s">
        <v>361</v>
      </c>
      <c r="C36" s="161">
        <f>'Eingabe - Input'!M57</f>
        <v>1</v>
      </c>
      <c r="D36" s="7" t="s">
        <v>97</v>
      </c>
      <c r="H36" s="4" t="s">
        <v>362</v>
      </c>
      <c r="M36" t="s">
        <v>363</v>
      </c>
    </row>
    <row r="37" spans="1:61" ht="39" customHeight="1"/>
    <row r="38" spans="1:61">
      <c r="A38" s="2" t="str">
        <f>IF($C$15=1,H38,M38)</f>
        <v>Gesamtelement (Hilfswerte und Zwischenergebnisse)</v>
      </c>
      <c r="B38" s="31"/>
      <c r="E38" s="2" t="str">
        <f>IF($C$15=1,L38,Q38)</f>
        <v>Erläuterungen/Formeln</v>
      </c>
      <c r="F38" s="18" t="s">
        <v>104</v>
      </c>
      <c r="G38" s="18" t="s">
        <v>101</v>
      </c>
      <c r="H38" s="2" t="s">
        <v>99</v>
      </c>
      <c r="I38" s="2"/>
      <c r="J38" s="3"/>
      <c r="K38" s="3"/>
      <c r="L38" s="2" t="s">
        <v>1</v>
      </c>
      <c r="M38" s="2" t="s">
        <v>175</v>
      </c>
      <c r="N38" s="2"/>
      <c r="O38" s="3"/>
      <c r="P38" s="3"/>
      <c r="Q38" s="2" t="s">
        <v>176</v>
      </c>
    </row>
    <row r="39" spans="1:61">
      <c r="A39" s="4" t="str">
        <f>IF($C$15=1,H39,M39)</f>
        <v>Deckschichtabstand</v>
      </c>
      <c r="B39" s="30" t="s">
        <v>28</v>
      </c>
      <c r="C39" s="8">
        <f>$C$18-$C$27-$D$28-$C$24/2-$D$24/2</f>
        <v>79.139999999999986</v>
      </c>
      <c r="D39" s="7" t="s">
        <v>87</v>
      </c>
      <c r="H39" s="4" t="s">
        <v>170</v>
      </c>
      <c r="M39" s="4" t="s">
        <v>82</v>
      </c>
    </row>
    <row r="40" spans="1:61" ht="15.75">
      <c r="A40" s="4" t="str">
        <f>IF($C$15=1,H40,M40)</f>
        <v>Kernfläche</v>
      </c>
      <c r="B40" s="30" t="s">
        <v>369</v>
      </c>
      <c r="C40" s="8">
        <f>C39*100/10</f>
        <v>791.39999999999986</v>
      </c>
      <c r="D40" s="7" t="s">
        <v>109</v>
      </c>
      <c r="H40" s="4" t="s">
        <v>171</v>
      </c>
      <c r="M40" s="4" t="s">
        <v>172</v>
      </c>
    </row>
    <row r="41" spans="1:61" ht="15.75">
      <c r="A41" s="4" t="s">
        <v>92</v>
      </c>
      <c r="B41" s="30" t="s">
        <v>30</v>
      </c>
      <c r="C41" s="149">
        <f>($C$29/10)*$C$25*($D$29/10)*$D$25*(($C$39/10)^2)/(($C$29/10)*$C$25+($D$29/10)*$D$25)</f>
        <v>3195477.4223074936</v>
      </c>
      <c r="D41" s="7" t="s">
        <v>93</v>
      </c>
      <c r="H41" s="4"/>
      <c r="M41" s="4"/>
    </row>
    <row r="42" spans="1:61" ht="15.75">
      <c r="A42" s="17" t="s">
        <v>107</v>
      </c>
      <c r="B42" s="123" t="s">
        <v>31</v>
      </c>
      <c r="C42" s="149">
        <f>C26*C29/10</f>
        <v>0</v>
      </c>
      <c r="D42" s="7" t="s">
        <v>93</v>
      </c>
    </row>
    <row r="43" spans="1:61" customFormat="1" ht="15.75">
      <c r="A43" s="17" t="s">
        <v>106</v>
      </c>
      <c r="B43" s="123" t="s">
        <v>32</v>
      </c>
      <c r="C43" s="149">
        <f>D26*D29/10</f>
        <v>0</v>
      </c>
      <c r="D43" s="7" t="s">
        <v>93</v>
      </c>
      <c r="H43" s="17"/>
      <c r="I43" s="150"/>
      <c r="J43" s="150"/>
      <c r="K43" s="150"/>
      <c r="L43" s="150"/>
      <c r="M43" s="17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</row>
    <row r="44" spans="1:61" ht="15.75">
      <c r="A44" s="17" t="s">
        <v>164</v>
      </c>
      <c r="B44" s="123" t="s">
        <v>41</v>
      </c>
      <c r="C44" s="151">
        <f>C31*C40/10</f>
        <v>79.139999999999986</v>
      </c>
      <c r="D44" s="7" t="s">
        <v>110</v>
      </c>
      <c r="F44" s="18"/>
      <c r="G44" s="18"/>
    </row>
    <row r="45" spans="1:61">
      <c r="A45" s="4" t="str">
        <f>IF($C$15=1,H45,M45)</f>
        <v>Hilfswerte und Zwischenergebnisse:</v>
      </c>
      <c r="B45" s="123" t="s">
        <v>370</v>
      </c>
      <c r="C45" s="152">
        <f>G45</f>
        <v>3.0283144639002031</v>
      </c>
      <c r="D45" s="7"/>
      <c r="E45" s="4" t="str">
        <f>IF($C$34=1,"wird nur für 2-Feld-Berechnung benötigt","")</f>
        <v/>
      </c>
      <c r="F45" s="19">
        <f>3*$C$41/($C$35*$C$35*10000*$C$44)</f>
        <v>3.0283144639002031</v>
      </c>
      <c r="G45" s="19">
        <f>3*$C$41/($C$35*$C$35*10000*$C$44)</f>
        <v>3.0283144639002031</v>
      </c>
      <c r="H45" s="17" t="s">
        <v>173</v>
      </c>
      <c r="M45" s="17" t="s">
        <v>174</v>
      </c>
    </row>
    <row r="46" spans="1:61" ht="39" customHeight="1">
      <c r="B46" s="123"/>
      <c r="C46" s="152"/>
      <c r="D46" s="7"/>
      <c r="F46" s="19"/>
      <c r="G46" s="19"/>
    </row>
    <row r="47" spans="1:61" ht="72.599999999999994" customHeight="1">
      <c r="A47" s="34"/>
      <c r="B47" s="35"/>
      <c r="C47" s="36"/>
      <c r="D47" s="37"/>
      <c r="E47" s="34"/>
      <c r="F47" s="17"/>
      <c r="G47" s="17"/>
    </row>
    <row r="48" spans="1:61" s="44" customFormat="1" ht="13.15" customHeight="1">
      <c r="A48" s="153" t="str">
        <f>IF($C$15=1,H48,M48)</f>
        <v>Schnittgrößenbezeichnungen am Querschnitt</v>
      </c>
      <c r="B48" s="39"/>
      <c r="C48" s="40"/>
      <c r="D48" s="41"/>
      <c r="E48" s="153" t="str">
        <f>IF($C$15=1,L48,Q48)</f>
        <v>Spannungsverteilung</v>
      </c>
      <c r="F48" s="42"/>
      <c r="G48" s="42"/>
      <c r="H48" s="42" t="s">
        <v>111</v>
      </c>
      <c r="I48" s="42"/>
      <c r="J48" s="42"/>
      <c r="K48" s="42"/>
      <c r="L48" s="42" t="s">
        <v>112</v>
      </c>
      <c r="M48" s="42" t="s">
        <v>113</v>
      </c>
      <c r="N48" s="42"/>
      <c r="O48" s="42"/>
      <c r="P48" s="42"/>
      <c r="Q48" s="42" t="s">
        <v>114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</row>
    <row r="49" spans="1:61" s="44" customFormat="1" ht="39" customHeight="1">
      <c r="A49" s="153"/>
      <c r="B49" s="39"/>
      <c r="C49" s="40"/>
      <c r="D49" s="41"/>
      <c r="E49" s="15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</row>
    <row r="50" spans="1:61">
      <c r="A50" s="154" t="str">
        <f>IF($C$15=1,H50,M50)</f>
        <v>Schnittgrößen für Gleichstreckenlast</v>
      </c>
      <c r="B50" s="31" t="s">
        <v>361</v>
      </c>
      <c r="C50" s="20">
        <f>C36</f>
        <v>1</v>
      </c>
      <c r="D50" s="12" t="s">
        <v>97</v>
      </c>
      <c r="F50" s="18" t="s">
        <v>104</v>
      </c>
      <c r="G50" s="18" t="s">
        <v>101</v>
      </c>
      <c r="H50" s="2" t="s">
        <v>43</v>
      </c>
      <c r="I50" s="2"/>
      <c r="J50" s="20"/>
      <c r="K50" s="12"/>
      <c r="L50" s="7"/>
      <c r="M50" s="139" t="s">
        <v>81</v>
      </c>
      <c r="N50" s="18"/>
      <c r="O50" s="18"/>
      <c r="P50" s="18"/>
    </row>
    <row r="51" spans="1:61" ht="15.75">
      <c r="A51" s="4" t="str">
        <f>IF($C$15=1,H51,M51)</f>
        <v>Sandwichmoment</v>
      </c>
      <c r="B51" s="30" t="s">
        <v>371</v>
      </c>
      <c r="C51" s="13">
        <f t="shared" ref="C51:C59" si="4">IF($C$34=1,F51,IF($C$34=2,G51,""))</f>
        <v>-0.12412139232941147</v>
      </c>
      <c r="D51" s="7" t="s">
        <v>100</v>
      </c>
      <c r="E51" s="4" t="str">
        <f>IF($C$15=1,L51,Q51)</f>
        <v>über Innenstütze</v>
      </c>
      <c r="F51" s="19">
        <f>$C$50*$C$35*$C$35/8</f>
        <v>0.5</v>
      </c>
      <c r="G51" s="19">
        <f>-$C$50*$C$35*$C$35/8*1/(1+C45)</f>
        <v>-0.12412139232941147</v>
      </c>
      <c r="H51" s="4" t="s">
        <v>46</v>
      </c>
      <c r="I51" s="4"/>
      <c r="J51" s="13"/>
      <c r="K51" s="7"/>
      <c r="L51" s="4" t="str">
        <f>IF($C$34=1,"in Feldmitte","über Innenstütze")</f>
        <v>über Innenstütze</v>
      </c>
      <c r="M51" s="139" t="s">
        <v>66</v>
      </c>
      <c r="N51" s="18"/>
      <c r="O51" s="18"/>
      <c r="P51" s="18"/>
      <c r="Q51" s="4" t="str">
        <f>IF($C$34=1,"at midspan","at intermediate support")</f>
        <v>at intermediate support</v>
      </c>
    </row>
    <row r="52" spans="1:61" ht="15.75">
      <c r="A52" s="4" t="str">
        <f t="shared" ref="A52:A62" si="5">IF($C$15=1,H52,M52)</f>
        <v>Deckschichtmoment</v>
      </c>
      <c r="B52" s="30" t="s">
        <v>372</v>
      </c>
      <c r="C52" s="13">
        <f t="shared" si="4"/>
        <v>0</v>
      </c>
      <c r="D52" s="7" t="s">
        <v>100</v>
      </c>
      <c r="E52" s="4" t="str">
        <f t="shared" ref="E52:E62" si="6">IF($C$15=1,L52,Q52)</f>
        <v>über Innenstütze</v>
      </c>
      <c r="F52" s="19">
        <v>0</v>
      </c>
      <c r="G52" s="19">
        <v>0</v>
      </c>
      <c r="H52" s="4" t="s">
        <v>47</v>
      </c>
      <c r="I52" s="4"/>
      <c r="J52" s="13"/>
      <c r="K52" s="7"/>
      <c r="L52" s="4" t="str">
        <f>IF($C$34=1,"in Feldmitte","über Innenstütze")</f>
        <v>über Innenstütze</v>
      </c>
      <c r="M52" s="139" t="s">
        <v>64</v>
      </c>
      <c r="N52" s="18"/>
      <c r="O52" s="18"/>
      <c r="P52" s="18"/>
      <c r="Q52" s="4" t="str">
        <f>IF($C$34=1,"at midspan","at intermediate support")</f>
        <v>at intermediate support</v>
      </c>
    </row>
    <row r="53" spans="1:61" ht="15.75">
      <c r="A53" s="4" t="str">
        <f t="shared" si="5"/>
        <v>Deckschichtmoment</v>
      </c>
      <c r="B53" s="30" t="s">
        <v>373</v>
      </c>
      <c r="C53" s="13">
        <f t="shared" si="4"/>
        <v>0</v>
      </c>
      <c r="D53" s="7" t="s">
        <v>100</v>
      </c>
      <c r="E53" s="4" t="str">
        <f t="shared" si="6"/>
        <v>über Innenstütze</v>
      </c>
      <c r="F53" s="19">
        <v>0</v>
      </c>
      <c r="G53" s="19">
        <v>0</v>
      </c>
      <c r="H53" s="4" t="s">
        <v>47</v>
      </c>
      <c r="I53" s="4"/>
      <c r="J53" s="13"/>
      <c r="K53" s="7"/>
      <c r="L53" s="4" t="str">
        <f>IF($C$34=1,"in Feldmitte","über Innenstütze")</f>
        <v>über Innenstütze</v>
      </c>
      <c r="M53" s="139" t="s">
        <v>65</v>
      </c>
      <c r="N53" s="152"/>
      <c r="O53" s="152"/>
      <c r="P53" s="152"/>
      <c r="Q53" s="4" t="str">
        <f>IF($C$34=1,"at midspan","at intermediate support")</f>
        <v>at intermediate support</v>
      </c>
    </row>
    <row r="54" spans="1:61" ht="15.75">
      <c r="A54" s="4" t="str">
        <f t="shared" si="5"/>
        <v>Querkraft in der Kernschicht</v>
      </c>
      <c r="B54" s="30" t="s">
        <v>374</v>
      </c>
      <c r="C54" s="13">
        <f t="shared" si="4"/>
        <v>1.0620606961647057</v>
      </c>
      <c r="D54" s="7" t="s">
        <v>102</v>
      </c>
      <c r="E54" s="4" t="str">
        <f t="shared" si="6"/>
        <v>neben der Innenstütze</v>
      </c>
      <c r="F54" s="19">
        <f>$C$50*$C$35/2</f>
        <v>1</v>
      </c>
      <c r="G54" s="19">
        <f>$C$50*$C$35/2*(1+(1/(4*(1+C45))))</f>
        <v>1.0620606961647057</v>
      </c>
      <c r="H54" s="4" t="s">
        <v>48</v>
      </c>
      <c r="I54" s="4"/>
      <c r="J54" s="13"/>
      <c r="K54" s="7"/>
      <c r="L54" s="4" t="str">
        <f>IF($C$34=1,"am Endauflager","neben der Innenstütze")</f>
        <v>neben der Innenstütze</v>
      </c>
      <c r="M54" s="119" t="s">
        <v>67</v>
      </c>
      <c r="N54" s="152"/>
      <c r="O54" s="152"/>
      <c r="P54" s="152"/>
      <c r="Q54" s="4" t="str">
        <f>IF($C$34=1,"at end support","beside the intermediate support")</f>
        <v>beside the intermediate support</v>
      </c>
    </row>
    <row r="55" spans="1:61" ht="15.75">
      <c r="A55" s="4" t="str">
        <f t="shared" si="5"/>
        <v>Querkraft in Deckschicht</v>
      </c>
      <c r="B55" s="30" t="s">
        <v>375</v>
      </c>
      <c r="C55" s="13">
        <f t="shared" si="4"/>
        <v>0</v>
      </c>
      <c r="D55" s="7" t="s">
        <v>102</v>
      </c>
      <c r="E55" s="4" t="str">
        <f t="shared" si="6"/>
        <v/>
      </c>
      <c r="F55" s="19">
        <v>0</v>
      </c>
      <c r="G55" s="19">
        <v>0</v>
      </c>
      <c r="H55" s="4" t="s">
        <v>54</v>
      </c>
      <c r="I55" s="4"/>
      <c r="J55" s="13"/>
      <c r="K55" s="7"/>
      <c r="L55" s="4" t="str">
        <f>""</f>
        <v/>
      </c>
      <c r="M55" s="119" t="s">
        <v>68</v>
      </c>
      <c r="N55" s="152"/>
      <c r="O55" s="152"/>
      <c r="P55" s="152"/>
      <c r="Q55" s="4" t="str">
        <f>""</f>
        <v/>
      </c>
    </row>
    <row r="56" spans="1:61" ht="15.75">
      <c r="A56" s="4" t="str">
        <f t="shared" si="5"/>
        <v>Querkraft in Deckschicht</v>
      </c>
      <c r="B56" s="30" t="s">
        <v>376</v>
      </c>
      <c r="C56" s="13">
        <f t="shared" si="4"/>
        <v>0</v>
      </c>
      <c r="D56" s="7" t="s">
        <v>102</v>
      </c>
      <c r="E56" s="4" t="str">
        <f t="shared" si="6"/>
        <v/>
      </c>
      <c r="F56" s="19">
        <v>0</v>
      </c>
      <c r="G56" s="19">
        <v>0</v>
      </c>
      <c r="H56" s="4" t="s">
        <v>54</v>
      </c>
      <c r="I56" s="4"/>
      <c r="J56" s="13"/>
      <c r="K56" s="7"/>
      <c r="L56" s="4" t="str">
        <f>""</f>
        <v/>
      </c>
      <c r="M56" s="119" t="s">
        <v>69</v>
      </c>
      <c r="N56" s="152"/>
      <c r="O56" s="152"/>
      <c r="P56" s="152"/>
      <c r="Q56" s="4" t="str">
        <f>""</f>
        <v/>
      </c>
    </row>
    <row r="57" spans="1:61" ht="15.75">
      <c r="A57" s="4" t="str">
        <f t="shared" si="5"/>
        <v>Endauflagerkraft</v>
      </c>
      <c r="B57" s="30" t="s">
        <v>377</v>
      </c>
      <c r="C57" s="13">
        <f t="shared" si="4"/>
        <v>0.93793930383529434</v>
      </c>
      <c r="D57" s="7" t="s">
        <v>102</v>
      </c>
      <c r="E57" s="4" t="str">
        <f t="shared" si="6"/>
        <v/>
      </c>
      <c r="F57" s="19">
        <f>F56+F55+F54</f>
        <v>1</v>
      </c>
      <c r="G57" s="19">
        <f>$C$50*$C$35-$G$54</f>
        <v>0.93793930383529434</v>
      </c>
      <c r="H57" s="4" t="s">
        <v>55</v>
      </c>
      <c r="I57" s="4"/>
      <c r="J57" s="13"/>
      <c r="K57" s="7"/>
      <c r="L57" s="4" t="str">
        <f>""</f>
        <v/>
      </c>
      <c r="M57" s="119" t="s">
        <v>70</v>
      </c>
      <c r="P57" s="152"/>
      <c r="Q57" s="4" t="str">
        <f>""</f>
        <v/>
      </c>
    </row>
    <row r="58" spans="1:61" ht="15.75">
      <c r="A58" s="4" t="str">
        <f t="shared" si="5"/>
        <v>Zwischenauflagerkraft</v>
      </c>
      <c r="B58" s="123" t="s">
        <v>53</v>
      </c>
      <c r="C58" s="13">
        <f>IF($C$34=1,"",IF($C$34=2,G58,""))</f>
        <v>2.1241213923294113</v>
      </c>
      <c r="D58" s="7" t="s">
        <v>102</v>
      </c>
      <c r="E58" s="4" t="str">
        <f t="shared" si="6"/>
        <v/>
      </c>
      <c r="F58" s="19">
        <v>0</v>
      </c>
      <c r="G58" s="19">
        <f>2*$G$54</f>
        <v>2.1241213923294113</v>
      </c>
      <c r="H58" s="17" t="s">
        <v>56</v>
      </c>
      <c r="J58" s="13"/>
      <c r="K58" s="7"/>
      <c r="L58" s="4" t="str">
        <f>""</f>
        <v/>
      </c>
      <c r="M58" s="139" t="s">
        <v>71</v>
      </c>
      <c r="Q58" s="4" t="str">
        <f>""</f>
        <v/>
      </c>
    </row>
    <row r="59" spans="1:61">
      <c r="A59" s="4" t="str">
        <f t="shared" si="5"/>
        <v>Durchbiegung</v>
      </c>
      <c r="B59" s="123" t="s">
        <v>378</v>
      </c>
      <c r="C59" s="13">
        <f t="shared" si="4"/>
        <v>0.68753631464564047</v>
      </c>
      <c r="D59" s="7" t="s">
        <v>103</v>
      </c>
      <c r="E59" s="4" t="str">
        <f t="shared" si="6"/>
        <v>* zwischen x = 0,375 L und x = 0,5 L</v>
      </c>
      <c r="F59" s="19">
        <f>5*$C$50/100*((100*$C$35)^4)*(1+16/5*$F$45)/(384*$C$41)</f>
        <v>0.69698807040603028</v>
      </c>
      <c r="G59" s="19">
        <f>C50/100*((C35*100)^4)*(0.26+2.625*G45+2*G45*G45)/(48*C41*(1+G45))</f>
        <v>0.68753631464564047</v>
      </c>
      <c r="H59" s="17" t="s">
        <v>57</v>
      </c>
      <c r="J59" s="13"/>
      <c r="K59" s="7"/>
      <c r="L59" s="4" t="str">
        <f>IF($C$34=1,"* in Feldmitte","* zwischen x = 0,375 L und x = 0,5 L")</f>
        <v>* zwischen x = 0,375 L und x = 0,5 L</v>
      </c>
      <c r="M59" s="139" t="s">
        <v>379</v>
      </c>
      <c r="Q59" s="4" t="str">
        <f>IF($C$34=1,"* at midspan","* between x = 0,375 L and x = 0,5 L")</f>
        <v>* between x = 0,375 L and x = 0,5 L</v>
      </c>
    </row>
    <row r="60" spans="1:61" ht="15.75">
      <c r="A60" s="4" t="str">
        <f t="shared" si="5"/>
        <v>Normalspannungen oberes Deckblech</v>
      </c>
      <c r="B60" s="147" t="s">
        <v>58</v>
      </c>
      <c r="C60" s="14">
        <f>-C51*10000/($C$39*$C$25)</f>
        <v>2.8990341253832557</v>
      </c>
      <c r="D60" s="7" t="s">
        <v>90</v>
      </c>
      <c r="E60" s="4" t="str">
        <f t="shared" si="6"/>
        <v>über Innenstütze</v>
      </c>
      <c r="F60" s="19">
        <f>-F51*10000/($C$39*$C$25)</f>
        <v>-11.678221098621645</v>
      </c>
      <c r="G60" s="19"/>
      <c r="H60" s="17" t="s">
        <v>380</v>
      </c>
      <c r="J60" s="14"/>
      <c r="K60" s="7"/>
      <c r="L60" s="4" t="str">
        <f>IF($C$34=1,"in Feldmitte","über Innenstütze")</f>
        <v>über Innenstütze</v>
      </c>
      <c r="M60" s="139" t="s">
        <v>381</v>
      </c>
      <c r="Q60" s="4" t="str">
        <f>IF($C$34=1,"at midspan","at intermediate support")</f>
        <v>at intermediate support</v>
      </c>
    </row>
    <row r="61" spans="1:61" ht="15.75">
      <c r="A61" s="4" t="str">
        <f t="shared" si="5"/>
        <v>Normalspannungen unters Deckblech</v>
      </c>
      <c r="B61" s="147" t="s">
        <v>60</v>
      </c>
      <c r="C61" s="14">
        <f>C51*10000/($C$39*$D$25)</f>
        <v>-3.5564114780778713</v>
      </c>
      <c r="D61" s="7" t="s">
        <v>90</v>
      </c>
      <c r="E61" s="4" t="str">
        <f t="shared" si="6"/>
        <v>über Innenstütze</v>
      </c>
      <c r="F61" s="19">
        <f>F51*10000/($C$39*$D$25)</f>
        <v>14.32634379672179</v>
      </c>
      <c r="G61" s="19"/>
      <c r="H61" s="17" t="s">
        <v>382</v>
      </c>
      <c r="J61" s="14"/>
      <c r="K61" s="7"/>
      <c r="L61" s="4" t="str">
        <f>IF($C$34=1,"in Feldmitte","über Innenstütze")</f>
        <v>über Innenstütze</v>
      </c>
      <c r="M61" s="139" t="s">
        <v>383</v>
      </c>
      <c r="Q61" s="4" t="str">
        <f>IF($C$34=1,"at midspan","at intermediate support")</f>
        <v>at intermediate support</v>
      </c>
    </row>
    <row r="62" spans="1:61" ht="15.75">
      <c r="A62" s="4" t="str">
        <f t="shared" si="5"/>
        <v>Schubspannung im Kern</v>
      </c>
      <c r="B62" s="147" t="s">
        <v>62</v>
      </c>
      <c r="C62" s="13">
        <f>C54*10/$C$40</f>
        <v>1.3420023959624789E-2</v>
      </c>
      <c r="D62" s="7" t="s">
        <v>90</v>
      </c>
      <c r="E62" s="4" t="str">
        <f t="shared" si="6"/>
        <v>neben der Innenstütze</v>
      </c>
      <c r="F62" s="19">
        <f>F54*10/$C$40</f>
        <v>1.263583522870862E-2</v>
      </c>
      <c r="G62" s="19"/>
      <c r="H62" s="17" t="s">
        <v>63</v>
      </c>
      <c r="J62" s="13"/>
      <c r="K62" s="7"/>
      <c r="L62" s="4" t="str">
        <f>IF($C$34=1,"am Endauflager","neben der Innenstütze")</f>
        <v>neben der Innenstütze</v>
      </c>
      <c r="M62" s="139" t="s">
        <v>78</v>
      </c>
      <c r="Q62" s="4" t="str">
        <f>IF($C$34=1,"at end support","beside the intermediate support")</f>
        <v>beside the intermediate support</v>
      </c>
    </row>
  </sheetData>
  <mergeCells count="4">
    <mergeCell ref="A3:E3"/>
    <mergeCell ref="H3:L3"/>
    <mergeCell ref="A4:E4"/>
    <mergeCell ref="H4:L4"/>
  </mergeCells>
  <conditionalFormatting sqref="L62 E54 L54">
    <cfRule type="cellIs" dxfId="9" priority="1" stopIfTrue="1" operator="equal">
      <formula>"neben der Innenstütze*"</formula>
    </cfRule>
  </conditionalFormatting>
  <conditionalFormatting sqref="Q62 Q54">
    <cfRule type="cellIs" dxfId="8" priority="2" stopIfTrue="1" operator="equal">
      <formula>"beside the intermediate support*"</formula>
    </cfRule>
  </conditionalFormatting>
  <conditionalFormatting sqref="L59">
    <cfRule type="cellIs" dxfId="7" priority="3" stopIfTrue="1" operator="equal">
      <formula>"zur genauen Ermittlung z. B. SandStat verwenden"</formula>
    </cfRule>
  </conditionalFormatting>
  <conditionalFormatting sqref="L55:L58 Q55:Q58">
    <cfRule type="cellIs" dxfId="6" priority="4" stopIfTrue="1" operator="equal">
      <formula>"*"</formula>
    </cfRule>
  </conditionalFormatting>
  <conditionalFormatting sqref="Q59">
    <cfRule type="cellIs" dxfId="5" priority="5" stopIfTrue="1" operator="equal">
      <formula>"for more exact determination use e. x. SandStat"</formula>
    </cfRule>
  </conditionalFormatting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6865" r:id="rId3">
          <objectPr defaultSize="0" autoPict="0" r:id="rId4">
            <anchor moveWithCells="1">
              <from>
                <xdr:col>4</xdr:col>
                <xdr:colOff>9525</xdr:colOff>
                <xdr:row>40</xdr:row>
                <xdr:rowOff>95250</xdr:rowOff>
              </from>
              <to>
                <xdr:col>4</xdr:col>
                <xdr:colOff>1428750</xdr:colOff>
                <xdr:row>42</xdr:row>
                <xdr:rowOff>38100</xdr:rowOff>
              </to>
            </anchor>
          </objectPr>
        </oleObject>
      </mc:Choice>
      <mc:Fallback>
        <oleObject progId="Equation.3" shapeId="36865" r:id="rId3"/>
      </mc:Fallback>
    </mc:AlternateContent>
    <mc:AlternateContent xmlns:mc="http://schemas.openxmlformats.org/markup-compatibility/2006">
      <mc:Choice Requires="x14">
        <oleObject progId="Equation.3" shapeId="36866" r:id="rId5">
          <objectPr defaultSize="0" autoPict="0" r:id="rId6">
            <anchor moveWithCells="1">
              <from>
                <xdr:col>4</xdr:col>
                <xdr:colOff>9525</xdr:colOff>
                <xdr:row>38</xdr:row>
                <xdr:rowOff>0</xdr:rowOff>
              </from>
              <to>
                <xdr:col>4</xdr:col>
                <xdr:colOff>1533525</xdr:colOff>
                <xdr:row>40</xdr:row>
                <xdr:rowOff>0</xdr:rowOff>
              </to>
            </anchor>
          </objectPr>
        </oleObject>
      </mc:Choice>
      <mc:Fallback>
        <oleObject progId="Equation.3" shapeId="36866" r:id="rId5"/>
      </mc:Fallback>
    </mc:AlternateContent>
    <mc:AlternateContent xmlns:mc="http://schemas.openxmlformats.org/markup-compatibility/2006">
      <mc:Choice Requires="x14">
        <oleObject progId="Equation.3" shapeId="36867" r:id="rId7">
          <objectPr defaultSize="0" autoPict="0" r:id="rId8">
            <anchor moveWithCells="1">
              <from>
                <xdr:col>4</xdr:col>
                <xdr:colOff>9525</xdr:colOff>
                <xdr:row>42</xdr:row>
                <xdr:rowOff>180975</xdr:rowOff>
              </from>
              <to>
                <xdr:col>4</xdr:col>
                <xdr:colOff>762000</xdr:colOff>
                <xdr:row>44</xdr:row>
                <xdr:rowOff>114300</xdr:rowOff>
              </to>
            </anchor>
          </objectPr>
        </oleObject>
      </mc:Choice>
      <mc:Fallback>
        <oleObject progId="Equation.3" shapeId="36867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62"/>
  <sheetViews>
    <sheetView topLeftCell="A37" workbookViewId="0">
      <selection activeCell="B32" sqref="B32"/>
    </sheetView>
  </sheetViews>
  <sheetFormatPr baseColWidth="10" defaultRowHeight="12.75"/>
  <cols>
    <col min="1" max="1" width="36.7109375" style="4" customWidth="1"/>
    <col min="2" max="2" width="6" style="30" customWidth="1"/>
    <col min="3" max="3" width="14.42578125" style="3" customWidth="1"/>
    <col min="4" max="4" width="13.7109375" style="3" customWidth="1"/>
    <col min="5" max="5" width="35.28515625" style="4" customWidth="1"/>
    <col min="6" max="6" width="11.5703125" style="5" customWidth="1"/>
    <col min="7" max="7" width="9.28515625" style="5" customWidth="1"/>
    <col min="8" max="8" width="12.140625" style="17" customWidth="1"/>
    <col min="9" max="12" width="2.85546875" style="17" customWidth="1"/>
    <col min="13" max="13" width="6.28515625" style="17" customWidth="1"/>
    <col min="14" max="14" width="3.42578125" style="17" customWidth="1"/>
    <col min="15" max="15" width="3.28515625" style="17" customWidth="1"/>
    <col min="16" max="16" width="3.140625" style="17" customWidth="1"/>
    <col min="17" max="20" width="6.7109375" style="17" customWidth="1"/>
    <col min="21" max="21" width="5.5703125" style="17" customWidth="1"/>
    <col min="22" max="39" width="6.7109375" style="17" customWidth="1"/>
    <col min="40" max="61" width="11.42578125" style="17" customWidth="1"/>
    <col min="62" max="256" width="11.42578125" style="4"/>
    <col min="257" max="257" width="36.7109375" style="4" customWidth="1"/>
    <col min="258" max="258" width="4.7109375" style="4" bestFit="1" customWidth="1"/>
    <col min="259" max="259" width="14.42578125" style="4" customWidth="1"/>
    <col min="260" max="260" width="13.7109375" style="4" customWidth="1"/>
    <col min="261" max="261" width="35.28515625" style="4" customWidth="1"/>
    <col min="262" max="262" width="11.5703125" style="4" customWidth="1"/>
    <col min="263" max="263" width="9.28515625" style="4" customWidth="1"/>
    <col min="264" max="264" width="5.85546875" style="4" customWidth="1"/>
    <col min="265" max="268" width="2.85546875" style="4" customWidth="1"/>
    <col min="269" max="269" width="6.28515625" style="4" customWidth="1"/>
    <col min="270" max="270" width="3.42578125" style="4" customWidth="1"/>
    <col min="271" max="271" width="3.28515625" style="4" customWidth="1"/>
    <col min="272" max="272" width="3.140625" style="4" customWidth="1"/>
    <col min="273" max="276" width="6.7109375" style="4" customWidth="1"/>
    <col min="277" max="277" width="5.5703125" style="4" customWidth="1"/>
    <col min="278" max="295" width="6.7109375" style="4" customWidth="1"/>
    <col min="296" max="317" width="11.42578125" style="4" customWidth="1"/>
    <col min="318" max="512" width="11.42578125" style="4"/>
    <col min="513" max="513" width="36.7109375" style="4" customWidth="1"/>
    <col min="514" max="514" width="4.7109375" style="4" bestFit="1" customWidth="1"/>
    <col min="515" max="515" width="14.42578125" style="4" customWidth="1"/>
    <col min="516" max="516" width="13.7109375" style="4" customWidth="1"/>
    <col min="517" max="517" width="35.28515625" style="4" customWidth="1"/>
    <col min="518" max="518" width="11.5703125" style="4" customWidth="1"/>
    <col min="519" max="519" width="9.28515625" style="4" customWidth="1"/>
    <col min="520" max="520" width="5.85546875" style="4" customWidth="1"/>
    <col min="521" max="524" width="2.85546875" style="4" customWidth="1"/>
    <col min="525" max="525" width="6.28515625" style="4" customWidth="1"/>
    <col min="526" max="526" width="3.42578125" style="4" customWidth="1"/>
    <col min="527" max="527" width="3.28515625" style="4" customWidth="1"/>
    <col min="528" max="528" width="3.140625" style="4" customWidth="1"/>
    <col min="529" max="532" width="6.7109375" style="4" customWidth="1"/>
    <col min="533" max="533" width="5.5703125" style="4" customWidth="1"/>
    <col min="534" max="551" width="6.7109375" style="4" customWidth="1"/>
    <col min="552" max="573" width="11.42578125" style="4" customWidth="1"/>
    <col min="574" max="768" width="11.42578125" style="4"/>
    <col min="769" max="769" width="36.7109375" style="4" customWidth="1"/>
    <col min="770" max="770" width="4.7109375" style="4" bestFit="1" customWidth="1"/>
    <col min="771" max="771" width="14.42578125" style="4" customWidth="1"/>
    <col min="772" max="772" width="13.7109375" style="4" customWidth="1"/>
    <col min="773" max="773" width="35.28515625" style="4" customWidth="1"/>
    <col min="774" max="774" width="11.5703125" style="4" customWidth="1"/>
    <col min="775" max="775" width="9.28515625" style="4" customWidth="1"/>
    <col min="776" max="776" width="5.85546875" style="4" customWidth="1"/>
    <col min="777" max="780" width="2.85546875" style="4" customWidth="1"/>
    <col min="781" max="781" width="6.28515625" style="4" customWidth="1"/>
    <col min="782" max="782" width="3.42578125" style="4" customWidth="1"/>
    <col min="783" max="783" width="3.28515625" style="4" customWidth="1"/>
    <col min="784" max="784" width="3.140625" style="4" customWidth="1"/>
    <col min="785" max="788" width="6.7109375" style="4" customWidth="1"/>
    <col min="789" max="789" width="5.5703125" style="4" customWidth="1"/>
    <col min="790" max="807" width="6.7109375" style="4" customWidth="1"/>
    <col min="808" max="829" width="11.42578125" style="4" customWidth="1"/>
    <col min="830" max="1024" width="11.42578125" style="4"/>
    <col min="1025" max="1025" width="36.7109375" style="4" customWidth="1"/>
    <col min="1026" max="1026" width="4.7109375" style="4" bestFit="1" customWidth="1"/>
    <col min="1027" max="1027" width="14.42578125" style="4" customWidth="1"/>
    <col min="1028" max="1028" width="13.7109375" style="4" customWidth="1"/>
    <col min="1029" max="1029" width="35.28515625" style="4" customWidth="1"/>
    <col min="1030" max="1030" width="11.5703125" style="4" customWidth="1"/>
    <col min="1031" max="1031" width="9.28515625" style="4" customWidth="1"/>
    <col min="1032" max="1032" width="5.85546875" style="4" customWidth="1"/>
    <col min="1033" max="1036" width="2.85546875" style="4" customWidth="1"/>
    <col min="1037" max="1037" width="6.28515625" style="4" customWidth="1"/>
    <col min="1038" max="1038" width="3.42578125" style="4" customWidth="1"/>
    <col min="1039" max="1039" width="3.28515625" style="4" customWidth="1"/>
    <col min="1040" max="1040" width="3.140625" style="4" customWidth="1"/>
    <col min="1041" max="1044" width="6.7109375" style="4" customWidth="1"/>
    <col min="1045" max="1045" width="5.5703125" style="4" customWidth="1"/>
    <col min="1046" max="1063" width="6.7109375" style="4" customWidth="1"/>
    <col min="1064" max="1085" width="11.42578125" style="4" customWidth="1"/>
    <col min="1086" max="1280" width="11.42578125" style="4"/>
    <col min="1281" max="1281" width="36.7109375" style="4" customWidth="1"/>
    <col min="1282" max="1282" width="4.7109375" style="4" bestFit="1" customWidth="1"/>
    <col min="1283" max="1283" width="14.42578125" style="4" customWidth="1"/>
    <col min="1284" max="1284" width="13.7109375" style="4" customWidth="1"/>
    <col min="1285" max="1285" width="35.28515625" style="4" customWidth="1"/>
    <col min="1286" max="1286" width="11.5703125" style="4" customWidth="1"/>
    <col min="1287" max="1287" width="9.28515625" style="4" customWidth="1"/>
    <col min="1288" max="1288" width="5.85546875" style="4" customWidth="1"/>
    <col min="1289" max="1292" width="2.85546875" style="4" customWidth="1"/>
    <col min="1293" max="1293" width="6.28515625" style="4" customWidth="1"/>
    <col min="1294" max="1294" width="3.42578125" style="4" customWidth="1"/>
    <col min="1295" max="1295" width="3.28515625" style="4" customWidth="1"/>
    <col min="1296" max="1296" width="3.140625" style="4" customWidth="1"/>
    <col min="1297" max="1300" width="6.7109375" style="4" customWidth="1"/>
    <col min="1301" max="1301" width="5.5703125" style="4" customWidth="1"/>
    <col min="1302" max="1319" width="6.7109375" style="4" customWidth="1"/>
    <col min="1320" max="1341" width="11.42578125" style="4" customWidth="1"/>
    <col min="1342" max="1536" width="11.42578125" style="4"/>
    <col min="1537" max="1537" width="36.7109375" style="4" customWidth="1"/>
    <col min="1538" max="1538" width="4.7109375" style="4" bestFit="1" customWidth="1"/>
    <col min="1539" max="1539" width="14.42578125" style="4" customWidth="1"/>
    <col min="1540" max="1540" width="13.7109375" style="4" customWidth="1"/>
    <col min="1541" max="1541" width="35.28515625" style="4" customWidth="1"/>
    <col min="1542" max="1542" width="11.5703125" style="4" customWidth="1"/>
    <col min="1543" max="1543" width="9.28515625" style="4" customWidth="1"/>
    <col min="1544" max="1544" width="5.85546875" style="4" customWidth="1"/>
    <col min="1545" max="1548" width="2.85546875" style="4" customWidth="1"/>
    <col min="1549" max="1549" width="6.28515625" style="4" customWidth="1"/>
    <col min="1550" max="1550" width="3.42578125" style="4" customWidth="1"/>
    <col min="1551" max="1551" width="3.28515625" style="4" customWidth="1"/>
    <col min="1552" max="1552" width="3.140625" style="4" customWidth="1"/>
    <col min="1553" max="1556" width="6.7109375" style="4" customWidth="1"/>
    <col min="1557" max="1557" width="5.5703125" style="4" customWidth="1"/>
    <col min="1558" max="1575" width="6.7109375" style="4" customWidth="1"/>
    <col min="1576" max="1597" width="11.42578125" style="4" customWidth="1"/>
    <col min="1598" max="1792" width="11.42578125" style="4"/>
    <col min="1793" max="1793" width="36.7109375" style="4" customWidth="1"/>
    <col min="1794" max="1794" width="4.7109375" style="4" bestFit="1" customWidth="1"/>
    <col min="1795" max="1795" width="14.42578125" style="4" customWidth="1"/>
    <col min="1796" max="1796" width="13.7109375" style="4" customWidth="1"/>
    <col min="1797" max="1797" width="35.28515625" style="4" customWidth="1"/>
    <col min="1798" max="1798" width="11.5703125" style="4" customWidth="1"/>
    <col min="1799" max="1799" width="9.28515625" style="4" customWidth="1"/>
    <col min="1800" max="1800" width="5.85546875" style="4" customWidth="1"/>
    <col min="1801" max="1804" width="2.85546875" style="4" customWidth="1"/>
    <col min="1805" max="1805" width="6.28515625" style="4" customWidth="1"/>
    <col min="1806" max="1806" width="3.42578125" style="4" customWidth="1"/>
    <col min="1807" max="1807" width="3.28515625" style="4" customWidth="1"/>
    <col min="1808" max="1808" width="3.140625" style="4" customWidth="1"/>
    <col min="1809" max="1812" width="6.7109375" style="4" customWidth="1"/>
    <col min="1813" max="1813" width="5.5703125" style="4" customWidth="1"/>
    <col min="1814" max="1831" width="6.7109375" style="4" customWidth="1"/>
    <col min="1832" max="1853" width="11.42578125" style="4" customWidth="1"/>
    <col min="1854" max="2048" width="11.42578125" style="4"/>
    <col min="2049" max="2049" width="36.7109375" style="4" customWidth="1"/>
    <col min="2050" max="2050" width="4.7109375" style="4" bestFit="1" customWidth="1"/>
    <col min="2051" max="2051" width="14.42578125" style="4" customWidth="1"/>
    <col min="2052" max="2052" width="13.7109375" style="4" customWidth="1"/>
    <col min="2053" max="2053" width="35.28515625" style="4" customWidth="1"/>
    <col min="2054" max="2054" width="11.5703125" style="4" customWidth="1"/>
    <col min="2055" max="2055" width="9.28515625" style="4" customWidth="1"/>
    <col min="2056" max="2056" width="5.85546875" style="4" customWidth="1"/>
    <col min="2057" max="2060" width="2.85546875" style="4" customWidth="1"/>
    <col min="2061" max="2061" width="6.28515625" style="4" customWidth="1"/>
    <col min="2062" max="2062" width="3.42578125" style="4" customWidth="1"/>
    <col min="2063" max="2063" width="3.28515625" style="4" customWidth="1"/>
    <col min="2064" max="2064" width="3.140625" style="4" customWidth="1"/>
    <col min="2065" max="2068" width="6.7109375" style="4" customWidth="1"/>
    <col min="2069" max="2069" width="5.5703125" style="4" customWidth="1"/>
    <col min="2070" max="2087" width="6.7109375" style="4" customWidth="1"/>
    <col min="2088" max="2109" width="11.42578125" style="4" customWidth="1"/>
    <col min="2110" max="2304" width="11.42578125" style="4"/>
    <col min="2305" max="2305" width="36.7109375" style="4" customWidth="1"/>
    <col min="2306" max="2306" width="4.7109375" style="4" bestFit="1" customWidth="1"/>
    <col min="2307" max="2307" width="14.42578125" style="4" customWidth="1"/>
    <col min="2308" max="2308" width="13.7109375" style="4" customWidth="1"/>
    <col min="2309" max="2309" width="35.28515625" style="4" customWidth="1"/>
    <col min="2310" max="2310" width="11.5703125" style="4" customWidth="1"/>
    <col min="2311" max="2311" width="9.28515625" style="4" customWidth="1"/>
    <col min="2312" max="2312" width="5.85546875" style="4" customWidth="1"/>
    <col min="2313" max="2316" width="2.85546875" style="4" customWidth="1"/>
    <col min="2317" max="2317" width="6.28515625" style="4" customWidth="1"/>
    <col min="2318" max="2318" width="3.42578125" style="4" customWidth="1"/>
    <col min="2319" max="2319" width="3.28515625" style="4" customWidth="1"/>
    <col min="2320" max="2320" width="3.140625" style="4" customWidth="1"/>
    <col min="2321" max="2324" width="6.7109375" style="4" customWidth="1"/>
    <col min="2325" max="2325" width="5.5703125" style="4" customWidth="1"/>
    <col min="2326" max="2343" width="6.7109375" style="4" customWidth="1"/>
    <col min="2344" max="2365" width="11.42578125" style="4" customWidth="1"/>
    <col min="2366" max="2560" width="11.42578125" style="4"/>
    <col min="2561" max="2561" width="36.7109375" style="4" customWidth="1"/>
    <col min="2562" max="2562" width="4.7109375" style="4" bestFit="1" customWidth="1"/>
    <col min="2563" max="2563" width="14.42578125" style="4" customWidth="1"/>
    <col min="2564" max="2564" width="13.7109375" style="4" customWidth="1"/>
    <col min="2565" max="2565" width="35.28515625" style="4" customWidth="1"/>
    <col min="2566" max="2566" width="11.5703125" style="4" customWidth="1"/>
    <col min="2567" max="2567" width="9.28515625" style="4" customWidth="1"/>
    <col min="2568" max="2568" width="5.85546875" style="4" customWidth="1"/>
    <col min="2569" max="2572" width="2.85546875" style="4" customWidth="1"/>
    <col min="2573" max="2573" width="6.28515625" style="4" customWidth="1"/>
    <col min="2574" max="2574" width="3.42578125" style="4" customWidth="1"/>
    <col min="2575" max="2575" width="3.28515625" style="4" customWidth="1"/>
    <col min="2576" max="2576" width="3.140625" style="4" customWidth="1"/>
    <col min="2577" max="2580" width="6.7109375" style="4" customWidth="1"/>
    <col min="2581" max="2581" width="5.5703125" style="4" customWidth="1"/>
    <col min="2582" max="2599" width="6.7109375" style="4" customWidth="1"/>
    <col min="2600" max="2621" width="11.42578125" style="4" customWidth="1"/>
    <col min="2622" max="2816" width="11.42578125" style="4"/>
    <col min="2817" max="2817" width="36.7109375" style="4" customWidth="1"/>
    <col min="2818" max="2818" width="4.7109375" style="4" bestFit="1" customWidth="1"/>
    <col min="2819" max="2819" width="14.42578125" style="4" customWidth="1"/>
    <col min="2820" max="2820" width="13.7109375" style="4" customWidth="1"/>
    <col min="2821" max="2821" width="35.28515625" style="4" customWidth="1"/>
    <col min="2822" max="2822" width="11.5703125" style="4" customWidth="1"/>
    <col min="2823" max="2823" width="9.28515625" style="4" customWidth="1"/>
    <col min="2824" max="2824" width="5.85546875" style="4" customWidth="1"/>
    <col min="2825" max="2828" width="2.85546875" style="4" customWidth="1"/>
    <col min="2829" max="2829" width="6.28515625" style="4" customWidth="1"/>
    <col min="2830" max="2830" width="3.42578125" style="4" customWidth="1"/>
    <col min="2831" max="2831" width="3.28515625" style="4" customWidth="1"/>
    <col min="2832" max="2832" width="3.140625" style="4" customWidth="1"/>
    <col min="2833" max="2836" width="6.7109375" style="4" customWidth="1"/>
    <col min="2837" max="2837" width="5.5703125" style="4" customWidth="1"/>
    <col min="2838" max="2855" width="6.7109375" style="4" customWidth="1"/>
    <col min="2856" max="2877" width="11.42578125" style="4" customWidth="1"/>
    <col min="2878" max="3072" width="11.42578125" style="4"/>
    <col min="3073" max="3073" width="36.7109375" style="4" customWidth="1"/>
    <col min="3074" max="3074" width="4.7109375" style="4" bestFit="1" customWidth="1"/>
    <col min="3075" max="3075" width="14.42578125" style="4" customWidth="1"/>
    <col min="3076" max="3076" width="13.7109375" style="4" customWidth="1"/>
    <col min="3077" max="3077" width="35.28515625" style="4" customWidth="1"/>
    <col min="3078" max="3078" width="11.5703125" style="4" customWidth="1"/>
    <col min="3079" max="3079" width="9.28515625" style="4" customWidth="1"/>
    <col min="3080" max="3080" width="5.85546875" style="4" customWidth="1"/>
    <col min="3081" max="3084" width="2.85546875" style="4" customWidth="1"/>
    <col min="3085" max="3085" width="6.28515625" style="4" customWidth="1"/>
    <col min="3086" max="3086" width="3.42578125" style="4" customWidth="1"/>
    <col min="3087" max="3087" width="3.28515625" style="4" customWidth="1"/>
    <col min="3088" max="3088" width="3.140625" style="4" customWidth="1"/>
    <col min="3089" max="3092" width="6.7109375" style="4" customWidth="1"/>
    <col min="3093" max="3093" width="5.5703125" style="4" customWidth="1"/>
    <col min="3094" max="3111" width="6.7109375" style="4" customWidth="1"/>
    <col min="3112" max="3133" width="11.42578125" style="4" customWidth="1"/>
    <col min="3134" max="3328" width="11.42578125" style="4"/>
    <col min="3329" max="3329" width="36.7109375" style="4" customWidth="1"/>
    <col min="3330" max="3330" width="4.7109375" style="4" bestFit="1" customWidth="1"/>
    <col min="3331" max="3331" width="14.42578125" style="4" customWidth="1"/>
    <col min="3332" max="3332" width="13.7109375" style="4" customWidth="1"/>
    <col min="3333" max="3333" width="35.28515625" style="4" customWidth="1"/>
    <col min="3334" max="3334" width="11.5703125" style="4" customWidth="1"/>
    <col min="3335" max="3335" width="9.28515625" style="4" customWidth="1"/>
    <col min="3336" max="3336" width="5.85546875" style="4" customWidth="1"/>
    <col min="3337" max="3340" width="2.85546875" style="4" customWidth="1"/>
    <col min="3341" max="3341" width="6.28515625" style="4" customWidth="1"/>
    <col min="3342" max="3342" width="3.42578125" style="4" customWidth="1"/>
    <col min="3343" max="3343" width="3.28515625" style="4" customWidth="1"/>
    <col min="3344" max="3344" width="3.140625" style="4" customWidth="1"/>
    <col min="3345" max="3348" width="6.7109375" style="4" customWidth="1"/>
    <col min="3349" max="3349" width="5.5703125" style="4" customWidth="1"/>
    <col min="3350" max="3367" width="6.7109375" style="4" customWidth="1"/>
    <col min="3368" max="3389" width="11.42578125" style="4" customWidth="1"/>
    <col min="3390" max="3584" width="11.42578125" style="4"/>
    <col min="3585" max="3585" width="36.7109375" style="4" customWidth="1"/>
    <col min="3586" max="3586" width="4.7109375" style="4" bestFit="1" customWidth="1"/>
    <col min="3587" max="3587" width="14.42578125" style="4" customWidth="1"/>
    <col min="3588" max="3588" width="13.7109375" style="4" customWidth="1"/>
    <col min="3589" max="3589" width="35.28515625" style="4" customWidth="1"/>
    <col min="3590" max="3590" width="11.5703125" style="4" customWidth="1"/>
    <col min="3591" max="3591" width="9.28515625" style="4" customWidth="1"/>
    <col min="3592" max="3592" width="5.85546875" style="4" customWidth="1"/>
    <col min="3593" max="3596" width="2.85546875" style="4" customWidth="1"/>
    <col min="3597" max="3597" width="6.28515625" style="4" customWidth="1"/>
    <col min="3598" max="3598" width="3.42578125" style="4" customWidth="1"/>
    <col min="3599" max="3599" width="3.28515625" style="4" customWidth="1"/>
    <col min="3600" max="3600" width="3.140625" style="4" customWidth="1"/>
    <col min="3601" max="3604" width="6.7109375" style="4" customWidth="1"/>
    <col min="3605" max="3605" width="5.5703125" style="4" customWidth="1"/>
    <col min="3606" max="3623" width="6.7109375" style="4" customWidth="1"/>
    <col min="3624" max="3645" width="11.42578125" style="4" customWidth="1"/>
    <col min="3646" max="3840" width="11.42578125" style="4"/>
    <col min="3841" max="3841" width="36.7109375" style="4" customWidth="1"/>
    <col min="3842" max="3842" width="4.7109375" style="4" bestFit="1" customWidth="1"/>
    <col min="3843" max="3843" width="14.42578125" style="4" customWidth="1"/>
    <col min="3844" max="3844" width="13.7109375" style="4" customWidth="1"/>
    <col min="3845" max="3845" width="35.28515625" style="4" customWidth="1"/>
    <col min="3846" max="3846" width="11.5703125" style="4" customWidth="1"/>
    <col min="3847" max="3847" width="9.28515625" style="4" customWidth="1"/>
    <col min="3848" max="3848" width="5.85546875" style="4" customWidth="1"/>
    <col min="3849" max="3852" width="2.85546875" style="4" customWidth="1"/>
    <col min="3853" max="3853" width="6.28515625" style="4" customWidth="1"/>
    <col min="3854" max="3854" width="3.42578125" style="4" customWidth="1"/>
    <col min="3855" max="3855" width="3.28515625" style="4" customWidth="1"/>
    <col min="3856" max="3856" width="3.140625" style="4" customWidth="1"/>
    <col min="3857" max="3860" width="6.7109375" style="4" customWidth="1"/>
    <col min="3861" max="3861" width="5.5703125" style="4" customWidth="1"/>
    <col min="3862" max="3879" width="6.7109375" style="4" customWidth="1"/>
    <col min="3880" max="3901" width="11.42578125" style="4" customWidth="1"/>
    <col min="3902" max="4096" width="11.42578125" style="4"/>
    <col min="4097" max="4097" width="36.7109375" style="4" customWidth="1"/>
    <col min="4098" max="4098" width="4.7109375" style="4" bestFit="1" customWidth="1"/>
    <col min="4099" max="4099" width="14.42578125" style="4" customWidth="1"/>
    <col min="4100" max="4100" width="13.7109375" style="4" customWidth="1"/>
    <col min="4101" max="4101" width="35.28515625" style="4" customWidth="1"/>
    <col min="4102" max="4102" width="11.5703125" style="4" customWidth="1"/>
    <col min="4103" max="4103" width="9.28515625" style="4" customWidth="1"/>
    <col min="4104" max="4104" width="5.85546875" style="4" customWidth="1"/>
    <col min="4105" max="4108" width="2.85546875" style="4" customWidth="1"/>
    <col min="4109" max="4109" width="6.28515625" style="4" customWidth="1"/>
    <col min="4110" max="4110" width="3.42578125" style="4" customWidth="1"/>
    <col min="4111" max="4111" width="3.28515625" style="4" customWidth="1"/>
    <col min="4112" max="4112" width="3.140625" style="4" customWidth="1"/>
    <col min="4113" max="4116" width="6.7109375" style="4" customWidth="1"/>
    <col min="4117" max="4117" width="5.5703125" style="4" customWidth="1"/>
    <col min="4118" max="4135" width="6.7109375" style="4" customWidth="1"/>
    <col min="4136" max="4157" width="11.42578125" style="4" customWidth="1"/>
    <col min="4158" max="4352" width="11.42578125" style="4"/>
    <col min="4353" max="4353" width="36.7109375" style="4" customWidth="1"/>
    <col min="4354" max="4354" width="4.7109375" style="4" bestFit="1" customWidth="1"/>
    <col min="4355" max="4355" width="14.42578125" style="4" customWidth="1"/>
    <col min="4356" max="4356" width="13.7109375" style="4" customWidth="1"/>
    <col min="4357" max="4357" width="35.28515625" style="4" customWidth="1"/>
    <col min="4358" max="4358" width="11.5703125" style="4" customWidth="1"/>
    <col min="4359" max="4359" width="9.28515625" style="4" customWidth="1"/>
    <col min="4360" max="4360" width="5.85546875" style="4" customWidth="1"/>
    <col min="4361" max="4364" width="2.85546875" style="4" customWidth="1"/>
    <col min="4365" max="4365" width="6.28515625" style="4" customWidth="1"/>
    <col min="4366" max="4366" width="3.42578125" style="4" customWidth="1"/>
    <col min="4367" max="4367" width="3.28515625" style="4" customWidth="1"/>
    <col min="4368" max="4368" width="3.140625" style="4" customWidth="1"/>
    <col min="4369" max="4372" width="6.7109375" style="4" customWidth="1"/>
    <col min="4373" max="4373" width="5.5703125" style="4" customWidth="1"/>
    <col min="4374" max="4391" width="6.7109375" style="4" customWidth="1"/>
    <col min="4392" max="4413" width="11.42578125" style="4" customWidth="1"/>
    <col min="4414" max="4608" width="11.42578125" style="4"/>
    <col min="4609" max="4609" width="36.7109375" style="4" customWidth="1"/>
    <col min="4610" max="4610" width="4.7109375" style="4" bestFit="1" customWidth="1"/>
    <col min="4611" max="4611" width="14.42578125" style="4" customWidth="1"/>
    <col min="4612" max="4612" width="13.7109375" style="4" customWidth="1"/>
    <col min="4613" max="4613" width="35.28515625" style="4" customWidth="1"/>
    <col min="4614" max="4614" width="11.5703125" style="4" customWidth="1"/>
    <col min="4615" max="4615" width="9.28515625" style="4" customWidth="1"/>
    <col min="4616" max="4616" width="5.85546875" style="4" customWidth="1"/>
    <col min="4617" max="4620" width="2.85546875" style="4" customWidth="1"/>
    <col min="4621" max="4621" width="6.28515625" style="4" customWidth="1"/>
    <col min="4622" max="4622" width="3.42578125" style="4" customWidth="1"/>
    <col min="4623" max="4623" width="3.28515625" style="4" customWidth="1"/>
    <col min="4624" max="4624" width="3.140625" style="4" customWidth="1"/>
    <col min="4625" max="4628" width="6.7109375" style="4" customWidth="1"/>
    <col min="4629" max="4629" width="5.5703125" style="4" customWidth="1"/>
    <col min="4630" max="4647" width="6.7109375" style="4" customWidth="1"/>
    <col min="4648" max="4669" width="11.42578125" style="4" customWidth="1"/>
    <col min="4670" max="4864" width="11.42578125" style="4"/>
    <col min="4865" max="4865" width="36.7109375" style="4" customWidth="1"/>
    <col min="4866" max="4866" width="4.7109375" style="4" bestFit="1" customWidth="1"/>
    <col min="4867" max="4867" width="14.42578125" style="4" customWidth="1"/>
    <col min="4868" max="4868" width="13.7109375" style="4" customWidth="1"/>
    <col min="4869" max="4869" width="35.28515625" style="4" customWidth="1"/>
    <col min="4870" max="4870" width="11.5703125" style="4" customWidth="1"/>
    <col min="4871" max="4871" width="9.28515625" style="4" customWidth="1"/>
    <col min="4872" max="4872" width="5.85546875" style="4" customWidth="1"/>
    <col min="4873" max="4876" width="2.85546875" style="4" customWidth="1"/>
    <col min="4877" max="4877" width="6.28515625" style="4" customWidth="1"/>
    <col min="4878" max="4878" width="3.42578125" style="4" customWidth="1"/>
    <col min="4879" max="4879" width="3.28515625" style="4" customWidth="1"/>
    <col min="4880" max="4880" width="3.140625" style="4" customWidth="1"/>
    <col min="4881" max="4884" width="6.7109375" style="4" customWidth="1"/>
    <col min="4885" max="4885" width="5.5703125" style="4" customWidth="1"/>
    <col min="4886" max="4903" width="6.7109375" style="4" customWidth="1"/>
    <col min="4904" max="4925" width="11.42578125" style="4" customWidth="1"/>
    <col min="4926" max="5120" width="11.42578125" style="4"/>
    <col min="5121" max="5121" width="36.7109375" style="4" customWidth="1"/>
    <col min="5122" max="5122" width="4.7109375" style="4" bestFit="1" customWidth="1"/>
    <col min="5123" max="5123" width="14.42578125" style="4" customWidth="1"/>
    <col min="5124" max="5124" width="13.7109375" style="4" customWidth="1"/>
    <col min="5125" max="5125" width="35.28515625" style="4" customWidth="1"/>
    <col min="5126" max="5126" width="11.5703125" style="4" customWidth="1"/>
    <col min="5127" max="5127" width="9.28515625" style="4" customWidth="1"/>
    <col min="5128" max="5128" width="5.85546875" style="4" customWidth="1"/>
    <col min="5129" max="5132" width="2.85546875" style="4" customWidth="1"/>
    <col min="5133" max="5133" width="6.28515625" style="4" customWidth="1"/>
    <col min="5134" max="5134" width="3.42578125" style="4" customWidth="1"/>
    <col min="5135" max="5135" width="3.28515625" style="4" customWidth="1"/>
    <col min="5136" max="5136" width="3.140625" style="4" customWidth="1"/>
    <col min="5137" max="5140" width="6.7109375" style="4" customWidth="1"/>
    <col min="5141" max="5141" width="5.5703125" style="4" customWidth="1"/>
    <col min="5142" max="5159" width="6.7109375" style="4" customWidth="1"/>
    <col min="5160" max="5181" width="11.42578125" style="4" customWidth="1"/>
    <col min="5182" max="5376" width="11.42578125" style="4"/>
    <col min="5377" max="5377" width="36.7109375" style="4" customWidth="1"/>
    <col min="5378" max="5378" width="4.7109375" style="4" bestFit="1" customWidth="1"/>
    <col min="5379" max="5379" width="14.42578125" style="4" customWidth="1"/>
    <col min="5380" max="5380" width="13.7109375" style="4" customWidth="1"/>
    <col min="5381" max="5381" width="35.28515625" style="4" customWidth="1"/>
    <col min="5382" max="5382" width="11.5703125" style="4" customWidth="1"/>
    <col min="5383" max="5383" width="9.28515625" style="4" customWidth="1"/>
    <col min="5384" max="5384" width="5.85546875" style="4" customWidth="1"/>
    <col min="5385" max="5388" width="2.85546875" style="4" customWidth="1"/>
    <col min="5389" max="5389" width="6.28515625" style="4" customWidth="1"/>
    <col min="5390" max="5390" width="3.42578125" style="4" customWidth="1"/>
    <col min="5391" max="5391" width="3.28515625" style="4" customWidth="1"/>
    <col min="5392" max="5392" width="3.140625" style="4" customWidth="1"/>
    <col min="5393" max="5396" width="6.7109375" style="4" customWidth="1"/>
    <col min="5397" max="5397" width="5.5703125" style="4" customWidth="1"/>
    <col min="5398" max="5415" width="6.7109375" style="4" customWidth="1"/>
    <col min="5416" max="5437" width="11.42578125" style="4" customWidth="1"/>
    <col min="5438" max="5632" width="11.42578125" style="4"/>
    <col min="5633" max="5633" width="36.7109375" style="4" customWidth="1"/>
    <col min="5634" max="5634" width="4.7109375" style="4" bestFit="1" customWidth="1"/>
    <col min="5635" max="5635" width="14.42578125" style="4" customWidth="1"/>
    <col min="5636" max="5636" width="13.7109375" style="4" customWidth="1"/>
    <col min="5637" max="5637" width="35.28515625" style="4" customWidth="1"/>
    <col min="5638" max="5638" width="11.5703125" style="4" customWidth="1"/>
    <col min="5639" max="5639" width="9.28515625" style="4" customWidth="1"/>
    <col min="5640" max="5640" width="5.85546875" style="4" customWidth="1"/>
    <col min="5641" max="5644" width="2.85546875" style="4" customWidth="1"/>
    <col min="5645" max="5645" width="6.28515625" style="4" customWidth="1"/>
    <col min="5646" max="5646" width="3.42578125" style="4" customWidth="1"/>
    <col min="5647" max="5647" width="3.28515625" style="4" customWidth="1"/>
    <col min="5648" max="5648" width="3.140625" style="4" customWidth="1"/>
    <col min="5649" max="5652" width="6.7109375" style="4" customWidth="1"/>
    <col min="5653" max="5653" width="5.5703125" style="4" customWidth="1"/>
    <col min="5654" max="5671" width="6.7109375" style="4" customWidth="1"/>
    <col min="5672" max="5693" width="11.42578125" style="4" customWidth="1"/>
    <col min="5694" max="5888" width="11.42578125" style="4"/>
    <col min="5889" max="5889" width="36.7109375" style="4" customWidth="1"/>
    <col min="5890" max="5890" width="4.7109375" style="4" bestFit="1" customWidth="1"/>
    <col min="5891" max="5891" width="14.42578125" style="4" customWidth="1"/>
    <col min="5892" max="5892" width="13.7109375" style="4" customWidth="1"/>
    <col min="5893" max="5893" width="35.28515625" style="4" customWidth="1"/>
    <col min="5894" max="5894" width="11.5703125" style="4" customWidth="1"/>
    <col min="5895" max="5895" width="9.28515625" style="4" customWidth="1"/>
    <col min="5896" max="5896" width="5.85546875" style="4" customWidth="1"/>
    <col min="5897" max="5900" width="2.85546875" style="4" customWidth="1"/>
    <col min="5901" max="5901" width="6.28515625" style="4" customWidth="1"/>
    <col min="5902" max="5902" width="3.42578125" style="4" customWidth="1"/>
    <col min="5903" max="5903" width="3.28515625" style="4" customWidth="1"/>
    <col min="5904" max="5904" width="3.140625" style="4" customWidth="1"/>
    <col min="5905" max="5908" width="6.7109375" style="4" customWidth="1"/>
    <col min="5909" max="5909" width="5.5703125" style="4" customWidth="1"/>
    <col min="5910" max="5927" width="6.7109375" style="4" customWidth="1"/>
    <col min="5928" max="5949" width="11.42578125" style="4" customWidth="1"/>
    <col min="5950" max="6144" width="11.42578125" style="4"/>
    <col min="6145" max="6145" width="36.7109375" style="4" customWidth="1"/>
    <col min="6146" max="6146" width="4.7109375" style="4" bestFit="1" customWidth="1"/>
    <col min="6147" max="6147" width="14.42578125" style="4" customWidth="1"/>
    <col min="6148" max="6148" width="13.7109375" style="4" customWidth="1"/>
    <col min="6149" max="6149" width="35.28515625" style="4" customWidth="1"/>
    <col min="6150" max="6150" width="11.5703125" style="4" customWidth="1"/>
    <col min="6151" max="6151" width="9.28515625" style="4" customWidth="1"/>
    <col min="6152" max="6152" width="5.85546875" style="4" customWidth="1"/>
    <col min="6153" max="6156" width="2.85546875" style="4" customWidth="1"/>
    <col min="6157" max="6157" width="6.28515625" style="4" customWidth="1"/>
    <col min="6158" max="6158" width="3.42578125" style="4" customWidth="1"/>
    <col min="6159" max="6159" width="3.28515625" style="4" customWidth="1"/>
    <col min="6160" max="6160" width="3.140625" style="4" customWidth="1"/>
    <col min="6161" max="6164" width="6.7109375" style="4" customWidth="1"/>
    <col min="6165" max="6165" width="5.5703125" style="4" customWidth="1"/>
    <col min="6166" max="6183" width="6.7109375" style="4" customWidth="1"/>
    <col min="6184" max="6205" width="11.42578125" style="4" customWidth="1"/>
    <col min="6206" max="6400" width="11.42578125" style="4"/>
    <col min="6401" max="6401" width="36.7109375" style="4" customWidth="1"/>
    <col min="6402" max="6402" width="4.7109375" style="4" bestFit="1" customWidth="1"/>
    <col min="6403" max="6403" width="14.42578125" style="4" customWidth="1"/>
    <col min="6404" max="6404" width="13.7109375" style="4" customWidth="1"/>
    <col min="6405" max="6405" width="35.28515625" style="4" customWidth="1"/>
    <col min="6406" max="6406" width="11.5703125" style="4" customWidth="1"/>
    <col min="6407" max="6407" width="9.28515625" style="4" customWidth="1"/>
    <col min="6408" max="6408" width="5.85546875" style="4" customWidth="1"/>
    <col min="6409" max="6412" width="2.85546875" style="4" customWidth="1"/>
    <col min="6413" max="6413" width="6.28515625" style="4" customWidth="1"/>
    <col min="6414" max="6414" width="3.42578125" style="4" customWidth="1"/>
    <col min="6415" max="6415" width="3.28515625" style="4" customWidth="1"/>
    <col min="6416" max="6416" width="3.140625" style="4" customWidth="1"/>
    <col min="6417" max="6420" width="6.7109375" style="4" customWidth="1"/>
    <col min="6421" max="6421" width="5.5703125" style="4" customWidth="1"/>
    <col min="6422" max="6439" width="6.7109375" style="4" customWidth="1"/>
    <col min="6440" max="6461" width="11.42578125" style="4" customWidth="1"/>
    <col min="6462" max="6656" width="11.42578125" style="4"/>
    <col min="6657" max="6657" width="36.7109375" style="4" customWidth="1"/>
    <col min="6658" max="6658" width="4.7109375" style="4" bestFit="1" customWidth="1"/>
    <col min="6659" max="6659" width="14.42578125" style="4" customWidth="1"/>
    <col min="6660" max="6660" width="13.7109375" style="4" customWidth="1"/>
    <col min="6661" max="6661" width="35.28515625" style="4" customWidth="1"/>
    <col min="6662" max="6662" width="11.5703125" style="4" customWidth="1"/>
    <col min="6663" max="6663" width="9.28515625" style="4" customWidth="1"/>
    <col min="6664" max="6664" width="5.85546875" style="4" customWidth="1"/>
    <col min="6665" max="6668" width="2.85546875" style="4" customWidth="1"/>
    <col min="6669" max="6669" width="6.28515625" style="4" customWidth="1"/>
    <col min="6670" max="6670" width="3.42578125" style="4" customWidth="1"/>
    <col min="6671" max="6671" width="3.28515625" style="4" customWidth="1"/>
    <col min="6672" max="6672" width="3.140625" style="4" customWidth="1"/>
    <col min="6673" max="6676" width="6.7109375" style="4" customWidth="1"/>
    <col min="6677" max="6677" width="5.5703125" style="4" customWidth="1"/>
    <col min="6678" max="6695" width="6.7109375" style="4" customWidth="1"/>
    <col min="6696" max="6717" width="11.42578125" style="4" customWidth="1"/>
    <col min="6718" max="6912" width="11.42578125" style="4"/>
    <col min="6913" max="6913" width="36.7109375" style="4" customWidth="1"/>
    <col min="6914" max="6914" width="4.7109375" style="4" bestFit="1" customWidth="1"/>
    <col min="6915" max="6915" width="14.42578125" style="4" customWidth="1"/>
    <col min="6916" max="6916" width="13.7109375" style="4" customWidth="1"/>
    <col min="6917" max="6917" width="35.28515625" style="4" customWidth="1"/>
    <col min="6918" max="6918" width="11.5703125" style="4" customWidth="1"/>
    <col min="6919" max="6919" width="9.28515625" style="4" customWidth="1"/>
    <col min="6920" max="6920" width="5.85546875" style="4" customWidth="1"/>
    <col min="6921" max="6924" width="2.85546875" style="4" customWidth="1"/>
    <col min="6925" max="6925" width="6.28515625" style="4" customWidth="1"/>
    <col min="6926" max="6926" width="3.42578125" style="4" customWidth="1"/>
    <col min="6927" max="6927" width="3.28515625" style="4" customWidth="1"/>
    <col min="6928" max="6928" width="3.140625" style="4" customWidth="1"/>
    <col min="6929" max="6932" width="6.7109375" style="4" customWidth="1"/>
    <col min="6933" max="6933" width="5.5703125" style="4" customWidth="1"/>
    <col min="6934" max="6951" width="6.7109375" style="4" customWidth="1"/>
    <col min="6952" max="6973" width="11.42578125" style="4" customWidth="1"/>
    <col min="6974" max="7168" width="11.42578125" style="4"/>
    <col min="7169" max="7169" width="36.7109375" style="4" customWidth="1"/>
    <col min="7170" max="7170" width="4.7109375" style="4" bestFit="1" customWidth="1"/>
    <col min="7171" max="7171" width="14.42578125" style="4" customWidth="1"/>
    <col min="7172" max="7172" width="13.7109375" style="4" customWidth="1"/>
    <col min="7173" max="7173" width="35.28515625" style="4" customWidth="1"/>
    <col min="7174" max="7174" width="11.5703125" style="4" customWidth="1"/>
    <col min="7175" max="7175" width="9.28515625" style="4" customWidth="1"/>
    <col min="7176" max="7176" width="5.85546875" style="4" customWidth="1"/>
    <col min="7177" max="7180" width="2.85546875" style="4" customWidth="1"/>
    <col min="7181" max="7181" width="6.28515625" style="4" customWidth="1"/>
    <col min="7182" max="7182" width="3.42578125" style="4" customWidth="1"/>
    <col min="7183" max="7183" width="3.28515625" style="4" customWidth="1"/>
    <col min="7184" max="7184" width="3.140625" style="4" customWidth="1"/>
    <col min="7185" max="7188" width="6.7109375" style="4" customWidth="1"/>
    <col min="7189" max="7189" width="5.5703125" style="4" customWidth="1"/>
    <col min="7190" max="7207" width="6.7109375" style="4" customWidth="1"/>
    <col min="7208" max="7229" width="11.42578125" style="4" customWidth="1"/>
    <col min="7230" max="7424" width="11.42578125" style="4"/>
    <col min="7425" max="7425" width="36.7109375" style="4" customWidth="1"/>
    <col min="7426" max="7426" width="4.7109375" style="4" bestFit="1" customWidth="1"/>
    <col min="7427" max="7427" width="14.42578125" style="4" customWidth="1"/>
    <col min="7428" max="7428" width="13.7109375" style="4" customWidth="1"/>
    <col min="7429" max="7429" width="35.28515625" style="4" customWidth="1"/>
    <col min="7430" max="7430" width="11.5703125" style="4" customWidth="1"/>
    <col min="7431" max="7431" width="9.28515625" style="4" customWidth="1"/>
    <col min="7432" max="7432" width="5.85546875" style="4" customWidth="1"/>
    <col min="7433" max="7436" width="2.85546875" style="4" customWidth="1"/>
    <col min="7437" max="7437" width="6.28515625" style="4" customWidth="1"/>
    <col min="7438" max="7438" width="3.42578125" style="4" customWidth="1"/>
    <col min="7439" max="7439" width="3.28515625" style="4" customWidth="1"/>
    <col min="7440" max="7440" width="3.140625" style="4" customWidth="1"/>
    <col min="7441" max="7444" width="6.7109375" style="4" customWidth="1"/>
    <col min="7445" max="7445" width="5.5703125" style="4" customWidth="1"/>
    <col min="7446" max="7463" width="6.7109375" style="4" customWidth="1"/>
    <col min="7464" max="7485" width="11.42578125" style="4" customWidth="1"/>
    <col min="7486" max="7680" width="11.42578125" style="4"/>
    <col min="7681" max="7681" width="36.7109375" style="4" customWidth="1"/>
    <col min="7682" max="7682" width="4.7109375" style="4" bestFit="1" customWidth="1"/>
    <col min="7683" max="7683" width="14.42578125" style="4" customWidth="1"/>
    <col min="7684" max="7684" width="13.7109375" style="4" customWidth="1"/>
    <col min="7685" max="7685" width="35.28515625" style="4" customWidth="1"/>
    <col min="7686" max="7686" width="11.5703125" style="4" customWidth="1"/>
    <col min="7687" max="7687" width="9.28515625" style="4" customWidth="1"/>
    <col min="7688" max="7688" width="5.85546875" style="4" customWidth="1"/>
    <col min="7689" max="7692" width="2.85546875" style="4" customWidth="1"/>
    <col min="7693" max="7693" width="6.28515625" style="4" customWidth="1"/>
    <col min="7694" max="7694" width="3.42578125" style="4" customWidth="1"/>
    <col min="7695" max="7695" width="3.28515625" style="4" customWidth="1"/>
    <col min="7696" max="7696" width="3.140625" style="4" customWidth="1"/>
    <col min="7697" max="7700" width="6.7109375" style="4" customWidth="1"/>
    <col min="7701" max="7701" width="5.5703125" style="4" customWidth="1"/>
    <col min="7702" max="7719" width="6.7109375" style="4" customWidth="1"/>
    <col min="7720" max="7741" width="11.42578125" style="4" customWidth="1"/>
    <col min="7742" max="7936" width="11.42578125" style="4"/>
    <col min="7937" max="7937" width="36.7109375" style="4" customWidth="1"/>
    <col min="7938" max="7938" width="4.7109375" style="4" bestFit="1" customWidth="1"/>
    <col min="7939" max="7939" width="14.42578125" style="4" customWidth="1"/>
    <col min="7940" max="7940" width="13.7109375" style="4" customWidth="1"/>
    <col min="7941" max="7941" width="35.28515625" style="4" customWidth="1"/>
    <col min="7942" max="7942" width="11.5703125" style="4" customWidth="1"/>
    <col min="7943" max="7943" width="9.28515625" style="4" customWidth="1"/>
    <col min="7944" max="7944" width="5.85546875" style="4" customWidth="1"/>
    <col min="7945" max="7948" width="2.85546875" style="4" customWidth="1"/>
    <col min="7949" max="7949" width="6.28515625" style="4" customWidth="1"/>
    <col min="7950" max="7950" width="3.42578125" style="4" customWidth="1"/>
    <col min="7951" max="7951" width="3.28515625" style="4" customWidth="1"/>
    <col min="7952" max="7952" width="3.140625" style="4" customWidth="1"/>
    <col min="7953" max="7956" width="6.7109375" style="4" customWidth="1"/>
    <col min="7957" max="7957" width="5.5703125" style="4" customWidth="1"/>
    <col min="7958" max="7975" width="6.7109375" style="4" customWidth="1"/>
    <col min="7976" max="7997" width="11.42578125" style="4" customWidth="1"/>
    <col min="7998" max="8192" width="11.42578125" style="4"/>
    <col min="8193" max="8193" width="36.7109375" style="4" customWidth="1"/>
    <col min="8194" max="8194" width="4.7109375" style="4" bestFit="1" customWidth="1"/>
    <col min="8195" max="8195" width="14.42578125" style="4" customWidth="1"/>
    <col min="8196" max="8196" width="13.7109375" style="4" customWidth="1"/>
    <col min="8197" max="8197" width="35.28515625" style="4" customWidth="1"/>
    <col min="8198" max="8198" width="11.5703125" style="4" customWidth="1"/>
    <col min="8199" max="8199" width="9.28515625" style="4" customWidth="1"/>
    <col min="8200" max="8200" width="5.85546875" style="4" customWidth="1"/>
    <col min="8201" max="8204" width="2.85546875" style="4" customWidth="1"/>
    <col min="8205" max="8205" width="6.28515625" style="4" customWidth="1"/>
    <col min="8206" max="8206" width="3.42578125" style="4" customWidth="1"/>
    <col min="8207" max="8207" width="3.28515625" style="4" customWidth="1"/>
    <col min="8208" max="8208" width="3.140625" style="4" customWidth="1"/>
    <col min="8209" max="8212" width="6.7109375" style="4" customWidth="1"/>
    <col min="8213" max="8213" width="5.5703125" style="4" customWidth="1"/>
    <col min="8214" max="8231" width="6.7109375" style="4" customWidth="1"/>
    <col min="8232" max="8253" width="11.42578125" style="4" customWidth="1"/>
    <col min="8254" max="8448" width="11.42578125" style="4"/>
    <col min="8449" max="8449" width="36.7109375" style="4" customWidth="1"/>
    <col min="8450" max="8450" width="4.7109375" style="4" bestFit="1" customWidth="1"/>
    <col min="8451" max="8451" width="14.42578125" style="4" customWidth="1"/>
    <col min="8452" max="8452" width="13.7109375" style="4" customWidth="1"/>
    <col min="8453" max="8453" width="35.28515625" style="4" customWidth="1"/>
    <col min="8454" max="8454" width="11.5703125" style="4" customWidth="1"/>
    <col min="8455" max="8455" width="9.28515625" style="4" customWidth="1"/>
    <col min="8456" max="8456" width="5.85546875" style="4" customWidth="1"/>
    <col min="8457" max="8460" width="2.85546875" style="4" customWidth="1"/>
    <col min="8461" max="8461" width="6.28515625" style="4" customWidth="1"/>
    <col min="8462" max="8462" width="3.42578125" style="4" customWidth="1"/>
    <col min="8463" max="8463" width="3.28515625" style="4" customWidth="1"/>
    <col min="8464" max="8464" width="3.140625" style="4" customWidth="1"/>
    <col min="8465" max="8468" width="6.7109375" style="4" customWidth="1"/>
    <col min="8469" max="8469" width="5.5703125" style="4" customWidth="1"/>
    <col min="8470" max="8487" width="6.7109375" style="4" customWidth="1"/>
    <col min="8488" max="8509" width="11.42578125" style="4" customWidth="1"/>
    <col min="8510" max="8704" width="11.42578125" style="4"/>
    <col min="8705" max="8705" width="36.7109375" style="4" customWidth="1"/>
    <col min="8706" max="8706" width="4.7109375" style="4" bestFit="1" customWidth="1"/>
    <col min="8707" max="8707" width="14.42578125" style="4" customWidth="1"/>
    <col min="8708" max="8708" width="13.7109375" style="4" customWidth="1"/>
    <col min="8709" max="8709" width="35.28515625" style="4" customWidth="1"/>
    <col min="8710" max="8710" width="11.5703125" style="4" customWidth="1"/>
    <col min="8711" max="8711" width="9.28515625" style="4" customWidth="1"/>
    <col min="8712" max="8712" width="5.85546875" style="4" customWidth="1"/>
    <col min="8713" max="8716" width="2.85546875" style="4" customWidth="1"/>
    <col min="8717" max="8717" width="6.28515625" style="4" customWidth="1"/>
    <col min="8718" max="8718" width="3.42578125" style="4" customWidth="1"/>
    <col min="8719" max="8719" width="3.28515625" style="4" customWidth="1"/>
    <col min="8720" max="8720" width="3.140625" style="4" customWidth="1"/>
    <col min="8721" max="8724" width="6.7109375" style="4" customWidth="1"/>
    <col min="8725" max="8725" width="5.5703125" style="4" customWidth="1"/>
    <col min="8726" max="8743" width="6.7109375" style="4" customWidth="1"/>
    <col min="8744" max="8765" width="11.42578125" style="4" customWidth="1"/>
    <col min="8766" max="8960" width="11.42578125" style="4"/>
    <col min="8961" max="8961" width="36.7109375" style="4" customWidth="1"/>
    <col min="8962" max="8962" width="4.7109375" style="4" bestFit="1" customWidth="1"/>
    <col min="8963" max="8963" width="14.42578125" style="4" customWidth="1"/>
    <col min="8964" max="8964" width="13.7109375" style="4" customWidth="1"/>
    <col min="8965" max="8965" width="35.28515625" style="4" customWidth="1"/>
    <col min="8966" max="8966" width="11.5703125" style="4" customWidth="1"/>
    <col min="8967" max="8967" width="9.28515625" style="4" customWidth="1"/>
    <col min="8968" max="8968" width="5.85546875" style="4" customWidth="1"/>
    <col min="8969" max="8972" width="2.85546875" style="4" customWidth="1"/>
    <col min="8973" max="8973" width="6.28515625" style="4" customWidth="1"/>
    <col min="8974" max="8974" width="3.42578125" style="4" customWidth="1"/>
    <col min="8975" max="8975" width="3.28515625" style="4" customWidth="1"/>
    <col min="8976" max="8976" width="3.140625" style="4" customWidth="1"/>
    <col min="8977" max="8980" width="6.7109375" style="4" customWidth="1"/>
    <col min="8981" max="8981" width="5.5703125" style="4" customWidth="1"/>
    <col min="8982" max="8999" width="6.7109375" style="4" customWidth="1"/>
    <col min="9000" max="9021" width="11.42578125" style="4" customWidth="1"/>
    <col min="9022" max="9216" width="11.42578125" style="4"/>
    <col min="9217" max="9217" width="36.7109375" style="4" customWidth="1"/>
    <col min="9218" max="9218" width="4.7109375" style="4" bestFit="1" customWidth="1"/>
    <col min="9219" max="9219" width="14.42578125" style="4" customWidth="1"/>
    <col min="9220" max="9220" width="13.7109375" style="4" customWidth="1"/>
    <col min="9221" max="9221" width="35.28515625" style="4" customWidth="1"/>
    <col min="9222" max="9222" width="11.5703125" style="4" customWidth="1"/>
    <col min="9223" max="9223" width="9.28515625" style="4" customWidth="1"/>
    <col min="9224" max="9224" width="5.85546875" style="4" customWidth="1"/>
    <col min="9225" max="9228" width="2.85546875" style="4" customWidth="1"/>
    <col min="9229" max="9229" width="6.28515625" style="4" customWidth="1"/>
    <col min="9230" max="9230" width="3.42578125" style="4" customWidth="1"/>
    <col min="9231" max="9231" width="3.28515625" style="4" customWidth="1"/>
    <col min="9232" max="9232" width="3.140625" style="4" customWidth="1"/>
    <col min="9233" max="9236" width="6.7109375" style="4" customWidth="1"/>
    <col min="9237" max="9237" width="5.5703125" style="4" customWidth="1"/>
    <col min="9238" max="9255" width="6.7109375" style="4" customWidth="1"/>
    <col min="9256" max="9277" width="11.42578125" style="4" customWidth="1"/>
    <col min="9278" max="9472" width="11.42578125" style="4"/>
    <col min="9473" max="9473" width="36.7109375" style="4" customWidth="1"/>
    <col min="9474" max="9474" width="4.7109375" style="4" bestFit="1" customWidth="1"/>
    <col min="9475" max="9475" width="14.42578125" style="4" customWidth="1"/>
    <col min="9476" max="9476" width="13.7109375" style="4" customWidth="1"/>
    <col min="9477" max="9477" width="35.28515625" style="4" customWidth="1"/>
    <col min="9478" max="9478" width="11.5703125" style="4" customWidth="1"/>
    <col min="9479" max="9479" width="9.28515625" style="4" customWidth="1"/>
    <col min="9480" max="9480" width="5.85546875" style="4" customWidth="1"/>
    <col min="9481" max="9484" width="2.85546875" style="4" customWidth="1"/>
    <col min="9485" max="9485" width="6.28515625" style="4" customWidth="1"/>
    <col min="9486" max="9486" width="3.42578125" style="4" customWidth="1"/>
    <col min="9487" max="9487" width="3.28515625" style="4" customWidth="1"/>
    <col min="9488" max="9488" width="3.140625" style="4" customWidth="1"/>
    <col min="9489" max="9492" width="6.7109375" style="4" customWidth="1"/>
    <col min="9493" max="9493" width="5.5703125" style="4" customWidth="1"/>
    <col min="9494" max="9511" width="6.7109375" style="4" customWidth="1"/>
    <col min="9512" max="9533" width="11.42578125" style="4" customWidth="1"/>
    <col min="9534" max="9728" width="11.42578125" style="4"/>
    <col min="9729" max="9729" width="36.7109375" style="4" customWidth="1"/>
    <col min="9730" max="9730" width="4.7109375" style="4" bestFit="1" customWidth="1"/>
    <col min="9731" max="9731" width="14.42578125" style="4" customWidth="1"/>
    <col min="9732" max="9732" width="13.7109375" style="4" customWidth="1"/>
    <col min="9733" max="9733" width="35.28515625" style="4" customWidth="1"/>
    <col min="9734" max="9734" width="11.5703125" style="4" customWidth="1"/>
    <col min="9735" max="9735" width="9.28515625" style="4" customWidth="1"/>
    <col min="9736" max="9736" width="5.85546875" style="4" customWidth="1"/>
    <col min="9737" max="9740" width="2.85546875" style="4" customWidth="1"/>
    <col min="9741" max="9741" width="6.28515625" style="4" customWidth="1"/>
    <col min="9742" max="9742" width="3.42578125" style="4" customWidth="1"/>
    <col min="9743" max="9743" width="3.28515625" style="4" customWidth="1"/>
    <col min="9744" max="9744" width="3.140625" style="4" customWidth="1"/>
    <col min="9745" max="9748" width="6.7109375" style="4" customWidth="1"/>
    <col min="9749" max="9749" width="5.5703125" style="4" customWidth="1"/>
    <col min="9750" max="9767" width="6.7109375" style="4" customWidth="1"/>
    <col min="9768" max="9789" width="11.42578125" style="4" customWidth="1"/>
    <col min="9790" max="9984" width="11.42578125" style="4"/>
    <col min="9985" max="9985" width="36.7109375" style="4" customWidth="1"/>
    <col min="9986" max="9986" width="4.7109375" style="4" bestFit="1" customWidth="1"/>
    <col min="9987" max="9987" width="14.42578125" style="4" customWidth="1"/>
    <col min="9988" max="9988" width="13.7109375" style="4" customWidth="1"/>
    <col min="9989" max="9989" width="35.28515625" style="4" customWidth="1"/>
    <col min="9990" max="9990" width="11.5703125" style="4" customWidth="1"/>
    <col min="9991" max="9991" width="9.28515625" style="4" customWidth="1"/>
    <col min="9992" max="9992" width="5.85546875" style="4" customWidth="1"/>
    <col min="9993" max="9996" width="2.85546875" style="4" customWidth="1"/>
    <col min="9997" max="9997" width="6.28515625" style="4" customWidth="1"/>
    <col min="9998" max="9998" width="3.42578125" style="4" customWidth="1"/>
    <col min="9999" max="9999" width="3.28515625" style="4" customWidth="1"/>
    <col min="10000" max="10000" width="3.140625" style="4" customWidth="1"/>
    <col min="10001" max="10004" width="6.7109375" style="4" customWidth="1"/>
    <col min="10005" max="10005" width="5.5703125" style="4" customWidth="1"/>
    <col min="10006" max="10023" width="6.7109375" style="4" customWidth="1"/>
    <col min="10024" max="10045" width="11.42578125" style="4" customWidth="1"/>
    <col min="10046" max="10240" width="11.42578125" style="4"/>
    <col min="10241" max="10241" width="36.7109375" style="4" customWidth="1"/>
    <col min="10242" max="10242" width="4.7109375" style="4" bestFit="1" customWidth="1"/>
    <col min="10243" max="10243" width="14.42578125" style="4" customWidth="1"/>
    <col min="10244" max="10244" width="13.7109375" style="4" customWidth="1"/>
    <col min="10245" max="10245" width="35.28515625" style="4" customWidth="1"/>
    <col min="10246" max="10246" width="11.5703125" style="4" customWidth="1"/>
    <col min="10247" max="10247" width="9.28515625" style="4" customWidth="1"/>
    <col min="10248" max="10248" width="5.85546875" style="4" customWidth="1"/>
    <col min="10249" max="10252" width="2.85546875" style="4" customWidth="1"/>
    <col min="10253" max="10253" width="6.28515625" style="4" customWidth="1"/>
    <col min="10254" max="10254" width="3.42578125" style="4" customWidth="1"/>
    <col min="10255" max="10255" width="3.28515625" style="4" customWidth="1"/>
    <col min="10256" max="10256" width="3.140625" style="4" customWidth="1"/>
    <col min="10257" max="10260" width="6.7109375" style="4" customWidth="1"/>
    <col min="10261" max="10261" width="5.5703125" style="4" customWidth="1"/>
    <col min="10262" max="10279" width="6.7109375" style="4" customWidth="1"/>
    <col min="10280" max="10301" width="11.42578125" style="4" customWidth="1"/>
    <col min="10302" max="10496" width="11.42578125" style="4"/>
    <col min="10497" max="10497" width="36.7109375" style="4" customWidth="1"/>
    <col min="10498" max="10498" width="4.7109375" style="4" bestFit="1" customWidth="1"/>
    <col min="10499" max="10499" width="14.42578125" style="4" customWidth="1"/>
    <col min="10500" max="10500" width="13.7109375" style="4" customWidth="1"/>
    <col min="10501" max="10501" width="35.28515625" style="4" customWidth="1"/>
    <col min="10502" max="10502" width="11.5703125" style="4" customWidth="1"/>
    <col min="10503" max="10503" width="9.28515625" style="4" customWidth="1"/>
    <col min="10504" max="10504" width="5.85546875" style="4" customWidth="1"/>
    <col min="10505" max="10508" width="2.85546875" style="4" customWidth="1"/>
    <col min="10509" max="10509" width="6.28515625" style="4" customWidth="1"/>
    <col min="10510" max="10510" width="3.42578125" style="4" customWidth="1"/>
    <col min="10511" max="10511" width="3.28515625" style="4" customWidth="1"/>
    <col min="10512" max="10512" width="3.140625" style="4" customWidth="1"/>
    <col min="10513" max="10516" width="6.7109375" style="4" customWidth="1"/>
    <col min="10517" max="10517" width="5.5703125" style="4" customWidth="1"/>
    <col min="10518" max="10535" width="6.7109375" style="4" customWidth="1"/>
    <col min="10536" max="10557" width="11.42578125" style="4" customWidth="1"/>
    <col min="10558" max="10752" width="11.42578125" style="4"/>
    <col min="10753" max="10753" width="36.7109375" style="4" customWidth="1"/>
    <col min="10754" max="10754" width="4.7109375" style="4" bestFit="1" customWidth="1"/>
    <col min="10755" max="10755" width="14.42578125" style="4" customWidth="1"/>
    <col min="10756" max="10756" width="13.7109375" style="4" customWidth="1"/>
    <col min="10757" max="10757" width="35.28515625" style="4" customWidth="1"/>
    <col min="10758" max="10758" width="11.5703125" style="4" customWidth="1"/>
    <col min="10759" max="10759" width="9.28515625" style="4" customWidth="1"/>
    <col min="10760" max="10760" width="5.85546875" style="4" customWidth="1"/>
    <col min="10761" max="10764" width="2.85546875" style="4" customWidth="1"/>
    <col min="10765" max="10765" width="6.28515625" style="4" customWidth="1"/>
    <col min="10766" max="10766" width="3.42578125" style="4" customWidth="1"/>
    <col min="10767" max="10767" width="3.28515625" style="4" customWidth="1"/>
    <col min="10768" max="10768" width="3.140625" style="4" customWidth="1"/>
    <col min="10769" max="10772" width="6.7109375" style="4" customWidth="1"/>
    <col min="10773" max="10773" width="5.5703125" style="4" customWidth="1"/>
    <col min="10774" max="10791" width="6.7109375" style="4" customWidth="1"/>
    <col min="10792" max="10813" width="11.42578125" style="4" customWidth="1"/>
    <col min="10814" max="11008" width="11.42578125" style="4"/>
    <col min="11009" max="11009" width="36.7109375" style="4" customWidth="1"/>
    <col min="11010" max="11010" width="4.7109375" style="4" bestFit="1" customWidth="1"/>
    <col min="11011" max="11011" width="14.42578125" style="4" customWidth="1"/>
    <col min="11012" max="11012" width="13.7109375" style="4" customWidth="1"/>
    <col min="11013" max="11013" width="35.28515625" style="4" customWidth="1"/>
    <col min="11014" max="11014" width="11.5703125" style="4" customWidth="1"/>
    <col min="11015" max="11015" width="9.28515625" style="4" customWidth="1"/>
    <col min="11016" max="11016" width="5.85546875" style="4" customWidth="1"/>
    <col min="11017" max="11020" width="2.85546875" style="4" customWidth="1"/>
    <col min="11021" max="11021" width="6.28515625" style="4" customWidth="1"/>
    <col min="11022" max="11022" width="3.42578125" style="4" customWidth="1"/>
    <col min="11023" max="11023" width="3.28515625" style="4" customWidth="1"/>
    <col min="11024" max="11024" width="3.140625" style="4" customWidth="1"/>
    <col min="11025" max="11028" width="6.7109375" style="4" customWidth="1"/>
    <col min="11029" max="11029" width="5.5703125" style="4" customWidth="1"/>
    <col min="11030" max="11047" width="6.7109375" style="4" customWidth="1"/>
    <col min="11048" max="11069" width="11.42578125" style="4" customWidth="1"/>
    <col min="11070" max="11264" width="11.42578125" style="4"/>
    <col min="11265" max="11265" width="36.7109375" style="4" customWidth="1"/>
    <col min="11266" max="11266" width="4.7109375" style="4" bestFit="1" customWidth="1"/>
    <col min="11267" max="11267" width="14.42578125" style="4" customWidth="1"/>
    <col min="11268" max="11268" width="13.7109375" style="4" customWidth="1"/>
    <col min="11269" max="11269" width="35.28515625" style="4" customWidth="1"/>
    <col min="11270" max="11270" width="11.5703125" style="4" customWidth="1"/>
    <col min="11271" max="11271" width="9.28515625" style="4" customWidth="1"/>
    <col min="11272" max="11272" width="5.85546875" style="4" customWidth="1"/>
    <col min="11273" max="11276" width="2.85546875" style="4" customWidth="1"/>
    <col min="11277" max="11277" width="6.28515625" style="4" customWidth="1"/>
    <col min="11278" max="11278" width="3.42578125" style="4" customWidth="1"/>
    <col min="11279" max="11279" width="3.28515625" style="4" customWidth="1"/>
    <col min="11280" max="11280" width="3.140625" style="4" customWidth="1"/>
    <col min="11281" max="11284" width="6.7109375" style="4" customWidth="1"/>
    <col min="11285" max="11285" width="5.5703125" style="4" customWidth="1"/>
    <col min="11286" max="11303" width="6.7109375" style="4" customWidth="1"/>
    <col min="11304" max="11325" width="11.42578125" style="4" customWidth="1"/>
    <col min="11326" max="11520" width="11.42578125" style="4"/>
    <col min="11521" max="11521" width="36.7109375" style="4" customWidth="1"/>
    <col min="11522" max="11522" width="4.7109375" style="4" bestFit="1" customWidth="1"/>
    <col min="11523" max="11523" width="14.42578125" style="4" customWidth="1"/>
    <col min="11524" max="11524" width="13.7109375" style="4" customWidth="1"/>
    <col min="11525" max="11525" width="35.28515625" style="4" customWidth="1"/>
    <col min="11526" max="11526" width="11.5703125" style="4" customWidth="1"/>
    <col min="11527" max="11527" width="9.28515625" style="4" customWidth="1"/>
    <col min="11528" max="11528" width="5.85546875" style="4" customWidth="1"/>
    <col min="11529" max="11532" width="2.85546875" style="4" customWidth="1"/>
    <col min="11533" max="11533" width="6.28515625" style="4" customWidth="1"/>
    <col min="11534" max="11534" width="3.42578125" style="4" customWidth="1"/>
    <col min="11535" max="11535" width="3.28515625" style="4" customWidth="1"/>
    <col min="11536" max="11536" width="3.140625" style="4" customWidth="1"/>
    <col min="11537" max="11540" width="6.7109375" style="4" customWidth="1"/>
    <col min="11541" max="11541" width="5.5703125" style="4" customWidth="1"/>
    <col min="11542" max="11559" width="6.7109375" style="4" customWidth="1"/>
    <col min="11560" max="11581" width="11.42578125" style="4" customWidth="1"/>
    <col min="11582" max="11776" width="11.42578125" style="4"/>
    <col min="11777" max="11777" width="36.7109375" style="4" customWidth="1"/>
    <col min="11778" max="11778" width="4.7109375" style="4" bestFit="1" customWidth="1"/>
    <col min="11779" max="11779" width="14.42578125" style="4" customWidth="1"/>
    <col min="11780" max="11780" width="13.7109375" style="4" customWidth="1"/>
    <col min="11781" max="11781" width="35.28515625" style="4" customWidth="1"/>
    <col min="11782" max="11782" width="11.5703125" style="4" customWidth="1"/>
    <col min="11783" max="11783" width="9.28515625" style="4" customWidth="1"/>
    <col min="11784" max="11784" width="5.85546875" style="4" customWidth="1"/>
    <col min="11785" max="11788" width="2.85546875" style="4" customWidth="1"/>
    <col min="11789" max="11789" width="6.28515625" style="4" customWidth="1"/>
    <col min="11790" max="11790" width="3.42578125" style="4" customWidth="1"/>
    <col min="11791" max="11791" width="3.28515625" style="4" customWidth="1"/>
    <col min="11792" max="11792" width="3.140625" style="4" customWidth="1"/>
    <col min="11793" max="11796" width="6.7109375" style="4" customWidth="1"/>
    <col min="11797" max="11797" width="5.5703125" style="4" customWidth="1"/>
    <col min="11798" max="11815" width="6.7109375" style="4" customWidth="1"/>
    <col min="11816" max="11837" width="11.42578125" style="4" customWidth="1"/>
    <col min="11838" max="12032" width="11.42578125" style="4"/>
    <col min="12033" max="12033" width="36.7109375" style="4" customWidth="1"/>
    <col min="12034" max="12034" width="4.7109375" style="4" bestFit="1" customWidth="1"/>
    <col min="12035" max="12035" width="14.42578125" style="4" customWidth="1"/>
    <col min="12036" max="12036" width="13.7109375" style="4" customWidth="1"/>
    <col min="12037" max="12037" width="35.28515625" style="4" customWidth="1"/>
    <col min="12038" max="12038" width="11.5703125" style="4" customWidth="1"/>
    <col min="12039" max="12039" width="9.28515625" style="4" customWidth="1"/>
    <col min="12040" max="12040" width="5.85546875" style="4" customWidth="1"/>
    <col min="12041" max="12044" width="2.85546875" style="4" customWidth="1"/>
    <col min="12045" max="12045" width="6.28515625" style="4" customWidth="1"/>
    <col min="12046" max="12046" width="3.42578125" style="4" customWidth="1"/>
    <col min="12047" max="12047" width="3.28515625" style="4" customWidth="1"/>
    <col min="12048" max="12048" width="3.140625" style="4" customWidth="1"/>
    <col min="12049" max="12052" width="6.7109375" style="4" customWidth="1"/>
    <col min="12053" max="12053" width="5.5703125" style="4" customWidth="1"/>
    <col min="12054" max="12071" width="6.7109375" style="4" customWidth="1"/>
    <col min="12072" max="12093" width="11.42578125" style="4" customWidth="1"/>
    <col min="12094" max="12288" width="11.42578125" style="4"/>
    <col min="12289" max="12289" width="36.7109375" style="4" customWidth="1"/>
    <col min="12290" max="12290" width="4.7109375" style="4" bestFit="1" customWidth="1"/>
    <col min="12291" max="12291" width="14.42578125" style="4" customWidth="1"/>
    <col min="12292" max="12292" width="13.7109375" style="4" customWidth="1"/>
    <col min="12293" max="12293" width="35.28515625" style="4" customWidth="1"/>
    <col min="12294" max="12294" width="11.5703125" style="4" customWidth="1"/>
    <col min="12295" max="12295" width="9.28515625" style="4" customWidth="1"/>
    <col min="12296" max="12296" width="5.85546875" style="4" customWidth="1"/>
    <col min="12297" max="12300" width="2.85546875" style="4" customWidth="1"/>
    <col min="12301" max="12301" width="6.28515625" style="4" customWidth="1"/>
    <col min="12302" max="12302" width="3.42578125" style="4" customWidth="1"/>
    <col min="12303" max="12303" width="3.28515625" style="4" customWidth="1"/>
    <col min="12304" max="12304" width="3.140625" style="4" customWidth="1"/>
    <col min="12305" max="12308" width="6.7109375" style="4" customWidth="1"/>
    <col min="12309" max="12309" width="5.5703125" style="4" customWidth="1"/>
    <col min="12310" max="12327" width="6.7109375" style="4" customWidth="1"/>
    <col min="12328" max="12349" width="11.42578125" style="4" customWidth="1"/>
    <col min="12350" max="12544" width="11.42578125" style="4"/>
    <col min="12545" max="12545" width="36.7109375" style="4" customWidth="1"/>
    <col min="12546" max="12546" width="4.7109375" style="4" bestFit="1" customWidth="1"/>
    <col min="12547" max="12547" width="14.42578125" style="4" customWidth="1"/>
    <col min="12548" max="12548" width="13.7109375" style="4" customWidth="1"/>
    <col min="12549" max="12549" width="35.28515625" style="4" customWidth="1"/>
    <col min="12550" max="12550" width="11.5703125" style="4" customWidth="1"/>
    <col min="12551" max="12551" width="9.28515625" style="4" customWidth="1"/>
    <col min="12552" max="12552" width="5.85546875" style="4" customWidth="1"/>
    <col min="12553" max="12556" width="2.85546875" style="4" customWidth="1"/>
    <col min="12557" max="12557" width="6.28515625" style="4" customWidth="1"/>
    <col min="12558" max="12558" width="3.42578125" style="4" customWidth="1"/>
    <col min="12559" max="12559" width="3.28515625" style="4" customWidth="1"/>
    <col min="12560" max="12560" width="3.140625" style="4" customWidth="1"/>
    <col min="12561" max="12564" width="6.7109375" style="4" customWidth="1"/>
    <col min="12565" max="12565" width="5.5703125" style="4" customWidth="1"/>
    <col min="12566" max="12583" width="6.7109375" style="4" customWidth="1"/>
    <col min="12584" max="12605" width="11.42578125" style="4" customWidth="1"/>
    <col min="12606" max="12800" width="11.42578125" style="4"/>
    <col min="12801" max="12801" width="36.7109375" style="4" customWidth="1"/>
    <col min="12802" max="12802" width="4.7109375" style="4" bestFit="1" customWidth="1"/>
    <col min="12803" max="12803" width="14.42578125" style="4" customWidth="1"/>
    <col min="12804" max="12804" width="13.7109375" style="4" customWidth="1"/>
    <col min="12805" max="12805" width="35.28515625" style="4" customWidth="1"/>
    <col min="12806" max="12806" width="11.5703125" style="4" customWidth="1"/>
    <col min="12807" max="12807" width="9.28515625" style="4" customWidth="1"/>
    <col min="12808" max="12808" width="5.85546875" style="4" customWidth="1"/>
    <col min="12809" max="12812" width="2.85546875" style="4" customWidth="1"/>
    <col min="12813" max="12813" width="6.28515625" style="4" customWidth="1"/>
    <col min="12814" max="12814" width="3.42578125" style="4" customWidth="1"/>
    <col min="12815" max="12815" width="3.28515625" style="4" customWidth="1"/>
    <col min="12816" max="12816" width="3.140625" style="4" customWidth="1"/>
    <col min="12817" max="12820" width="6.7109375" style="4" customWidth="1"/>
    <col min="12821" max="12821" width="5.5703125" style="4" customWidth="1"/>
    <col min="12822" max="12839" width="6.7109375" style="4" customWidth="1"/>
    <col min="12840" max="12861" width="11.42578125" style="4" customWidth="1"/>
    <col min="12862" max="13056" width="11.42578125" style="4"/>
    <col min="13057" max="13057" width="36.7109375" style="4" customWidth="1"/>
    <col min="13058" max="13058" width="4.7109375" style="4" bestFit="1" customWidth="1"/>
    <col min="13059" max="13059" width="14.42578125" style="4" customWidth="1"/>
    <col min="13060" max="13060" width="13.7109375" style="4" customWidth="1"/>
    <col min="13061" max="13061" width="35.28515625" style="4" customWidth="1"/>
    <col min="13062" max="13062" width="11.5703125" style="4" customWidth="1"/>
    <col min="13063" max="13063" width="9.28515625" style="4" customWidth="1"/>
    <col min="13064" max="13064" width="5.85546875" style="4" customWidth="1"/>
    <col min="13065" max="13068" width="2.85546875" style="4" customWidth="1"/>
    <col min="13069" max="13069" width="6.28515625" style="4" customWidth="1"/>
    <col min="13070" max="13070" width="3.42578125" style="4" customWidth="1"/>
    <col min="13071" max="13071" width="3.28515625" style="4" customWidth="1"/>
    <col min="13072" max="13072" width="3.140625" style="4" customWidth="1"/>
    <col min="13073" max="13076" width="6.7109375" style="4" customWidth="1"/>
    <col min="13077" max="13077" width="5.5703125" style="4" customWidth="1"/>
    <col min="13078" max="13095" width="6.7109375" style="4" customWidth="1"/>
    <col min="13096" max="13117" width="11.42578125" style="4" customWidth="1"/>
    <col min="13118" max="13312" width="11.42578125" style="4"/>
    <col min="13313" max="13313" width="36.7109375" style="4" customWidth="1"/>
    <col min="13314" max="13314" width="4.7109375" style="4" bestFit="1" customWidth="1"/>
    <col min="13315" max="13315" width="14.42578125" style="4" customWidth="1"/>
    <col min="13316" max="13316" width="13.7109375" style="4" customWidth="1"/>
    <col min="13317" max="13317" width="35.28515625" style="4" customWidth="1"/>
    <col min="13318" max="13318" width="11.5703125" style="4" customWidth="1"/>
    <col min="13319" max="13319" width="9.28515625" style="4" customWidth="1"/>
    <col min="13320" max="13320" width="5.85546875" style="4" customWidth="1"/>
    <col min="13321" max="13324" width="2.85546875" style="4" customWidth="1"/>
    <col min="13325" max="13325" width="6.28515625" style="4" customWidth="1"/>
    <col min="13326" max="13326" width="3.42578125" style="4" customWidth="1"/>
    <col min="13327" max="13327" width="3.28515625" style="4" customWidth="1"/>
    <col min="13328" max="13328" width="3.140625" style="4" customWidth="1"/>
    <col min="13329" max="13332" width="6.7109375" style="4" customWidth="1"/>
    <col min="13333" max="13333" width="5.5703125" style="4" customWidth="1"/>
    <col min="13334" max="13351" width="6.7109375" style="4" customWidth="1"/>
    <col min="13352" max="13373" width="11.42578125" style="4" customWidth="1"/>
    <col min="13374" max="13568" width="11.42578125" style="4"/>
    <col min="13569" max="13569" width="36.7109375" style="4" customWidth="1"/>
    <col min="13570" max="13570" width="4.7109375" style="4" bestFit="1" customWidth="1"/>
    <col min="13571" max="13571" width="14.42578125" style="4" customWidth="1"/>
    <col min="13572" max="13572" width="13.7109375" style="4" customWidth="1"/>
    <col min="13573" max="13573" width="35.28515625" style="4" customWidth="1"/>
    <col min="13574" max="13574" width="11.5703125" style="4" customWidth="1"/>
    <col min="13575" max="13575" width="9.28515625" style="4" customWidth="1"/>
    <col min="13576" max="13576" width="5.85546875" style="4" customWidth="1"/>
    <col min="13577" max="13580" width="2.85546875" style="4" customWidth="1"/>
    <col min="13581" max="13581" width="6.28515625" style="4" customWidth="1"/>
    <col min="13582" max="13582" width="3.42578125" style="4" customWidth="1"/>
    <col min="13583" max="13583" width="3.28515625" style="4" customWidth="1"/>
    <col min="13584" max="13584" width="3.140625" style="4" customWidth="1"/>
    <col min="13585" max="13588" width="6.7109375" style="4" customWidth="1"/>
    <col min="13589" max="13589" width="5.5703125" style="4" customWidth="1"/>
    <col min="13590" max="13607" width="6.7109375" style="4" customWidth="1"/>
    <col min="13608" max="13629" width="11.42578125" style="4" customWidth="1"/>
    <col min="13630" max="13824" width="11.42578125" style="4"/>
    <col min="13825" max="13825" width="36.7109375" style="4" customWidth="1"/>
    <col min="13826" max="13826" width="4.7109375" style="4" bestFit="1" customWidth="1"/>
    <col min="13827" max="13827" width="14.42578125" style="4" customWidth="1"/>
    <col min="13828" max="13828" width="13.7109375" style="4" customWidth="1"/>
    <col min="13829" max="13829" width="35.28515625" style="4" customWidth="1"/>
    <col min="13830" max="13830" width="11.5703125" style="4" customWidth="1"/>
    <col min="13831" max="13831" width="9.28515625" style="4" customWidth="1"/>
    <col min="13832" max="13832" width="5.85546875" style="4" customWidth="1"/>
    <col min="13833" max="13836" width="2.85546875" style="4" customWidth="1"/>
    <col min="13837" max="13837" width="6.28515625" style="4" customWidth="1"/>
    <col min="13838" max="13838" width="3.42578125" style="4" customWidth="1"/>
    <col min="13839" max="13839" width="3.28515625" style="4" customWidth="1"/>
    <col min="13840" max="13840" width="3.140625" style="4" customWidth="1"/>
    <col min="13841" max="13844" width="6.7109375" style="4" customWidth="1"/>
    <col min="13845" max="13845" width="5.5703125" style="4" customWidth="1"/>
    <col min="13846" max="13863" width="6.7109375" style="4" customWidth="1"/>
    <col min="13864" max="13885" width="11.42578125" style="4" customWidth="1"/>
    <col min="13886" max="14080" width="11.42578125" style="4"/>
    <col min="14081" max="14081" width="36.7109375" style="4" customWidth="1"/>
    <col min="14082" max="14082" width="4.7109375" style="4" bestFit="1" customWidth="1"/>
    <col min="14083" max="14083" width="14.42578125" style="4" customWidth="1"/>
    <col min="14084" max="14084" width="13.7109375" style="4" customWidth="1"/>
    <col min="14085" max="14085" width="35.28515625" style="4" customWidth="1"/>
    <col min="14086" max="14086" width="11.5703125" style="4" customWidth="1"/>
    <col min="14087" max="14087" width="9.28515625" style="4" customWidth="1"/>
    <col min="14088" max="14088" width="5.85546875" style="4" customWidth="1"/>
    <col min="14089" max="14092" width="2.85546875" style="4" customWidth="1"/>
    <col min="14093" max="14093" width="6.28515625" style="4" customWidth="1"/>
    <col min="14094" max="14094" width="3.42578125" style="4" customWidth="1"/>
    <col min="14095" max="14095" width="3.28515625" style="4" customWidth="1"/>
    <col min="14096" max="14096" width="3.140625" style="4" customWidth="1"/>
    <col min="14097" max="14100" width="6.7109375" style="4" customWidth="1"/>
    <col min="14101" max="14101" width="5.5703125" style="4" customWidth="1"/>
    <col min="14102" max="14119" width="6.7109375" style="4" customWidth="1"/>
    <col min="14120" max="14141" width="11.42578125" style="4" customWidth="1"/>
    <col min="14142" max="14336" width="11.42578125" style="4"/>
    <col min="14337" max="14337" width="36.7109375" style="4" customWidth="1"/>
    <col min="14338" max="14338" width="4.7109375" style="4" bestFit="1" customWidth="1"/>
    <col min="14339" max="14339" width="14.42578125" style="4" customWidth="1"/>
    <col min="14340" max="14340" width="13.7109375" style="4" customWidth="1"/>
    <col min="14341" max="14341" width="35.28515625" style="4" customWidth="1"/>
    <col min="14342" max="14342" width="11.5703125" style="4" customWidth="1"/>
    <col min="14343" max="14343" width="9.28515625" style="4" customWidth="1"/>
    <col min="14344" max="14344" width="5.85546875" style="4" customWidth="1"/>
    <col min="14345" max="14348" width="2.85546875" style="4" customWidth="1"/>
    <col min="14349" max="14349" width="6.28515625" style="4" customWidth="1"/>
    <col min="14350" max="14350" width="3.42578125" style="4" customWidth="1"/>
    <col min="14351" max="14351" width="3.28515625" style="4" customWidth="1"/>
    <col min="14352" max="14352" width="3.140625" style="4" customWidth="1"/>
    <col min="14353" max="14356" width="6.7109375" style="4" customWidth="1"/>
    <col min="14357" max="14357" width="5.5703125" style="4" customWidth="1"/>
    <col min="14358" max="14375" width="6.7109375" style="4" customWidth="1"/>
    <col min="14376" max="14397" width="11.42578125" style="4" customWidth="1"/>
    <col min="14398" max="14592" width="11.42578125" style="4"/>
    <col min="14593" max="14593" width="36.7109375" style="4" customWidth="1"/>
    <col min="14594" max="14594" width="4.7109375" style="4" bestFit="1" customWidth="1"/>
    <col min="14595" max="14595" width="14.42578125" style="4" customWidth="1"/>
    <col min="14596" max="14596" width="13.7109375" style="4" customWidth="1"/>
    <col min="14597" max="14597" width="35.28515625" style="4" customWidth="1"/>
    <col min="14598" max="14598" width="11.5703125" style="4" customWidth="1"/>
    <col min="14599" max="14599" width="9.28515625" style="4" customWidth="1"/>
    <col min="14600" max="14600" width="5.85546875" style="4" customWidth="1"/>
    <col min="14601" max="14604" width="2.85546875" style="4" customWidth="1"/>
    <col min="14605" max="14605" width="6.28515625" style="4" customWidth="1"/>
    <col min="14606" max="14606" width="3.42578125" style="4" customWidth="1"/>
    <col min="14607" max="14607" width="3.28515625" style="4" customWidth="1"/>
    <col min="14608" max="14608" width="3.140625" style="4" customWidth="1"/>
    <col min="14609" max="14612" width="6.7109375" style="4" customWidth="1"/>
    <col min="14613" max="14613" width="5.5703125" style="4" customWidth="1"/>
    <col min="14614" max="14631" width="6.7109375" style="4" customWidth="1"/>
    <col min="14632" max="14653" width="11.42578125" style="4" customWidth="1"/>
    <col min="14654" max="14848" width="11.42578125" style="4"/>
    <col min="14849" max="14849" width="36.7109375" style="4" customWidth="1"/>
    <col min="14850" max="14850" width="4.7109375" style="4" bestFit="1" customWidth="1"/>
    <col min="14851" max="14851" width="14.42578125" style="4" customWidth="1"/>
    <col min="14852" max="14852" width="13.7109375" style="4" customWidth="1"/>
    <col min="14853" max="14853" width="35.28515625" style="4" customWidth="1"/>
    <col min="14854" max="14854" width="11.5703125" style="4" customWidth="1"/>
    <col min="14855" max="14855" width="9.28515625" style="4" customWidth="1"/>
    <col min="14856" max="14856" width="5.85546875" style="4" customWidth="1"/>
    <col min="14857" max="14860" width="2.85546875" style="4" customWidth="1"/>
    <col min="14861" max="14861" width="6.28515625" style="4" customWidth="1"/>
    <col min="14862" max="14862" width="3.42578125" style="4" customWidth="1"/>
    <col min="14863" max="14863" width="3.28515625" style="4" customWidth="1"/>
    <col min="14864" max="14864" width="3.140625" style="4" customWidth="1"/>
    <col min="14865" max="14868" width="6.7109375" style="4" customWidth="1"/>
    <col min="14869" max="14869" width="5.5703125" style="4" customWidth="1"/>
    <col min="14870" max="14887" width="6.7109375" style="4" customWidth="1"/>
    <col min="14888" max="14909" width="11.42578125" style="4" customWidth="1"/>
    <col min="14910" max="15104" width="11.42578125" style="4"/>
    <col min="15105" max="15105" width="36.7109375" style="4" customWidth="1"/>
    <col min="15106" max="15106" width="4.7109375" style="4" bestFit="1" customWidth="1"/>
    <col min="15107" max="15107" width="14.42578125" style="4" customWidth="1"/>
    <col min="15108" max="15108" width="13.7109375" style="4" customWidth="1"/>
    <col min="15109" max="15109" width="35.28515625" style="4" customWidth="1"/>
    <col min="15110" max="15110" width="11.5703125" style="4" customWidth="1"/>
    <col min="15111" max="15111" width="9.28515625" style="4" customWidth="1"/>
    <col min="15112" max="15112" width="5.85546875" style="4" customWidth="1"/>
    <col min="15113" max="15116" width="2.85546875" style="4" customWidth="1"/>
    <col min="15117" max="15117" width="6.28515625" style="4" customWidth="1"/>
    <col min="15118" max="15118" width="3.42578125" style="4" customWidth="1"/>
    <col min="15119" max="15119" width="3.28515625" style="4" customWidth="1"/>
    <col min="15120" max="15120" width="3.140625" style="4" customWidth="1"/>
    <col min="15121" max="15124" width="6.7109375" style="4" customWidth="1"/>
    <col min="15125" max="15125" width="5.5703125" style="4" customWidth="1"/>
    <col min="15126" max="15143" width="6.7109375" style="4" customWidth="1"/>
    <col min="15144" max="15165" width="11.42578125" style="4" customWidth="1"/>
    <col min="15166" max="15360" width="11.42578125" style="4"/>
    <col min="15361" max="15361" width="36.7109375" style="4" customWidth="1"/>
    <col min="15362" max="15362" width="4.7109375" style="4" bestFit="1" customWidth="1"/>
    <col min="15363" max="15363" width="14.42578125" style="4" customWidth="1"/>
    <col min="15364" max="15364" width="13.7109375" style="4" customWidth="1"/>
    <col min="15365" max="15365" width="35.28515625" style="4" customWidth="1"/>
    <col min="15366" max="15366" width="11.5703125" style="4" customWidth="1"/>
    <col min="15367" max="15367" width="9.28515625" style="4" customWidth="1"/>
    <col min="15368" max="15368" width="5.85546875" style="4" customWidth="1"/>
    <col min="15369" max="15372" width="2.85546875" style="4" customWidth="1"/>
    <col min="15373" max="15373" width="6.28515625" style="4" customWidth="1"/>
    <col min="15374" max="15374" width="3.42578125" style="4" customWidth="1"/>
    <col min="15375" max="15375" width="3.28515625" style="4" customWidth="1"/>
    <col min="15376" max="15376" width="3.140625" style="4" customWidth="1"/>
    <col min="15377" max="15380" width="6.7109375" style="4" customWidth="1"/>
    <col min="15381" max="15381" width="5.5703125" style="4" customWidth="1"/>
    <col min="15382" max="15399" width="6.7109375" style="4" customWidth="1"/>
    <col min="15400" max="15421" width="11.42578125" style="4" customWidth="1"/>
    <col min="15422" max="15616" width="11.42578125" style="4"/>
    <col min="15617" max="15617" width="36.7109375" style="4" customWidth="1"/>
    <col min="15618" max="15618" width="4.7109375" style="4" bestFit="1" customWidth="1"/>
    <col min="15619" max="15619" width="14.42578125" style="4" customWidth="1"/>
    <col min="15620" max="15620" width="13.7109375" style="4" customWidth="1"/>
    <col min="15621" max="15621" width="35.28515625" style="4" customWidth="1"/>
    <col min="15622" max="15622" width="11.5703125" style="4" customWidth="1"/>
    <col min="15623" max="15623" width="9.28515625" style="4" customWidth="1"/>
    <col min="15624" max="15624" width="5.85546875" style="4" customWidth="1"/>
    <col min="15625" max="15628" width="2.85546875" style="4" customWidth="1"/>
    <col min="15629" max="15629" width="6.28515625" style="4" customWidth="1"/>
    <col min="15630" max="15630" width="3.42578125" style="4" customWidth="1"/>
    <col min="15631" max="15631" width="3.28515625" style="4" customWidth="1"/>
    <col min="15632" max="15632" width="3.140625" style="4" customWidth="1"/>
    <col min="15633" max="15636" width="6.7109375" style="4" customWidth="1"/>
    <col min="15637" max="15637" width="5.5703125" style="4" customWidth="1"/>
    <col min="15638" max="15655" width="6.7109375" style="4" customWidth="1"/>
    <col min="15656" max="15677" width="11.42578125" style="4" customWidth="1"/>
    <col min="15678" max="15872" width="11.42578125" style="4"/>
    <col min="15873" max="15873" width="36.7109375" style="4" customWidth="1"/>
    <col min="15874" max="15874" width="4.7109375" style="4" bestFit="1" customWidth="1"/>
    <col min="15875" max="15875" width="14.42578125" style="4" customWidth="1"/>
    <col min="15876" max="15876" width="13.7109375" style="4" customWidth="1"/>
    <col min="15877" max="15877" width="35.28515625" style="4" customWidth="1"/>
    <col min="15878" max="15878" width="11.5703125" style="4" customWidth="1"/>
    <col min="15879" max="15879" width="9.28515625" style="4" customWidth="1"/>
    <col min="15880" max="15880" width="5.85546875" style="4" customWidth="1"/>
    <col min="15881" max="15884" width="2.85546875" style="4" customWidth="1"/>
    <col min="15885" max="15885" width="6.28515625" style="4" customWidth="1"/>
    <col min="15886" max="15886" width="3.42578125" style="4" customWidth="1"/>
    <col min="15887" max="15887" width="3.28515625" style="4" customWidth="1"/>
    <col min="15888" max="15888" width="3.140625" style="4" customWidth="1"/>
    <col min="15889" max="15892" width="6.7109375" style="4" customWidth="1"/>
    <col min="15893" max="15893" width="5.5703125" style="4" customWidth="1"/>
    <col min="15894" max="15911" width="6.7109375" style="4" customWidth="1"/>
    <col min="15912" max="15933" width="11.42578125" style="4" customWidth="1"/>
    <col min="15934" max="16128" width="11.42578125" style="4"/>
    <col min="16129" max="16129" width="36.7109375" style="4" customWidth="1"/>
    <col min="16130" max="16130" width="4.7109375" style="4" bestFit="1" customWidth="1"/>
    <col min="16131" max="16131" width="14.42578125" style="4" customWidth="1"/>
    <col min="16132" max="16132" width="13.7109375" style="4" customWidth="1"/>
    <col min="16133" max="16133" width="35.28515625" style="4" customWidth="1"/>
    <col min="16134" max="16134" width="11.5703125" style="4" customWidth="1"/>
    <col min="16135" max="16135" width="9.28515625" style="4" customWidth="1"/>
    <col min="16136" max="16136" width="5.85546875" style="4" customWidth="1"/>
    <col min="16137" max="16140" width="2.85546875" style="4" customWidth="1"/>
    <col min="16141" max="16141" width="6.28515625" style="4" customWidth="1"/>
    <col min="16142" max="16142" width="3.42578125" style="4" customWidth="1"/>
    <col min="16143" max="16143" width="3.28515625" style="4" customWidth="1"/>
    <col min="16144" max="16144" width="3.140625" style="4" customWidth="1"/>
    <col min="16145" max="16148" width="6.7109375" style="4" customWidth="1"/>
    <col min="16149" max="16149" width="5.5703125" style="4" customWidth="1"/>
    <col min="16150" max="16167" width="6.7109375" style="4" customWidth="1"/>
    <col min="16168" max="16189" width="11.42578125" style="4" customWidth="1"/>
    <col min="16190" max="16384" width="11.42578125" style="4"/>
  </cols>
  <sheetData>
    <row r="1" spans="1:15" ht="76.900000000000006" customHeight="1"/>
    <row r="2" spans="1:15" s="130" customFormat="1" ht="41.45" customHeight="1">
      <c r="A2" s="126"/>
      <c r="B2" s="127"/>
      <c r="C2" s="99"/>
      <c r="D2" s="99"/>
      <c r="E2" s="128"/>
      <c r="F2" s="126"/>
      <c r="G2" s="129"/>
      <c r="H2" s="126"/>
      <c r="M2" s="126"/>
    </row>
    <row r="3" spans="1:15" s="133" customFormat="1" ht="30" customHeight="1">
      <c r="A3" s="520" t="str">
        <f>IF($C$15=1,"Ermittlung Schnittgrößen und Spannungen",M3)</f>
        <v>Ermittlung Schnittgrößen und Spannungen</v>
      </c>
      <c r="B3" s="520"/>
      <c r="C3" s="520"/>
      <c r="D3" s="520"/>
      <c r="E3" s="520"/>
      <c r="F3" s="131"/>
      <c r="G3" s="131"/>
      <c r="H3" s="520" t="s">
        <v>341</v>
      </c>
      <c r="I3" s="520"/>
      <c r="J3" s="520"/>
      <c r="K3" s="520"/>
      <c r="L3" s="520"/>
      <c r="M3" s="132" t="s">
        <v>342</v>
      </c>
      <c r="N3" s="132"/>
      <c r="O3" s="132"/>
    </row>
    <row r="4" spans="1:15" s="133" customFormat="1" ht="30" customHeight="1">
      <c r="A4" s="521" t="str">
        <f>IF($C$15=1,H4,M4)</f>
        <v>von Sandwichbauteilen nach DIN EN 14509</v>
      </c>
      <c r="B4" s="521"/>
      <c r="C4" s="521"/>
      <c r="D4" s="521"/>
      <c r="E4" s="521"/>
      <c r="F4" s="131"/>
      <c r="G4" s="131"/>
      <c r="H4" s="521" t="s">
        <v>390</v>
      </c>
      <c r="I4" s="521"/>
      <c r="J4" s="521"/>
      <c r="K4" s="521"/>
      <c r="L4" s="521"/>
      <c r="M4" s="134" t="s">
        <v>391</v>
      </c>
      <c r="N4" s="134"/>
      <c r="O4" s="134"/>
    </row>
    <row r="5" spans="1:15" s="130" customFormat="1" ht="26.45" customHeight="1">
      <c r="A5" s="126"/>
      <c r="B5" s="127"/>
      <c r="C5" s="99"/>
      <c r="D5" s="99"/>
      <c r="E5" s="128"/>
      <c r="F5" s="126"/>
      <c r="G5" s="129"/>
      <c r="H5" s="126"/>
      <c r="M5" s="126"/>
    </row>
    <row r="6" spans="1:15" s="130" customFormat="1">
      <c r="B6" s="135"/>
      <c r="C6" s="99"/>
      <c r="D6" s="99"/>
      <c r="E6" s="128"/>
      <c r="F6" s="129"/>
      <c r="G6" s="129"/>
    </row>
    <row r="7" spans="1:15" s="130" customFormat="1">
      <c r="A7" s="2" t="str">
        <f>IF($C$15=1,H7,M7)</f>
        <v>Voraussetzungen</v>
      </c>
      <c r="B7" s="136"/>
      <c r="C7" s="130" t="str">
        <f t="shared" ref="C7:C13" si="0">IF($C$15=1,J7,O7)</f>
        <v>- beidseitig ebene bzw. quasi-ebene Deckschichten</v>
      </c>
      <c r="D7" s="99"/>
      <c r="F7" s="129"/>
      <c r="G7" s="129"/>
      <c r="H7" s="137" t="s">
        <v>177</v>
      </c>
      <c r="I7" s="137"/>
      <c r="J7" s="138" t="str">
        <f>"- beidseitig ebene bzw. quasi-ebene Deckschichten"</f>
        <v>- beidseitig ebene bzw. quasi-ebene Deckschichten</v>
      </c>
      <c r="K7" s="137"/>
      <c r="L7" s="137"/>
      <c r="M7" s="137" t="s">
        <v>2</v>
      </c>
      <c r="O7" s="130" t="str">
        <f>"- flat or lightly profiled facing on both sides"</f>
        <v>- flat or lightly profiled facing on both sides</v>
      </c>
    </row>
    <row r="8" spans="1:15" s="130" customFormat="1">
      <c r="B8" s="135"/>
      <c r="C8" s="130" t="str">
        <f t="shared" si="0"/>
        <v>- ein Feld oder zwei Felder mit gleichen Stützweiten</v>
      </c>
      <c r="D8" s="99"/>
      <c r="F8" s="129"/>
      <c r="G8" s="129"/>
      <c r="J8" s="138" t="str">
        <f>"- ein Feld oder zwei Felder mit gleichen Stützweiten"</f>
        <v>- ein Feld oder zwei Felder mit gleichen Stützweiten</v>
      </c>
      <c r="O8" s="130" t="str">
        <f>"- single span or two spans with eausl span width"</f>
        <v>- single span or two spans with eausl span width</v>
      </c>
    </row>
    <row r="9" spans="1:15" s="130" customFormat="1">
      <c r="B9" s="135"/>
      <c r="C9" s="130" t="str">
        <f t="shared" si="0"/>
        <v>- Bezeichnungen nach ECCS-Recommendations for Sandwich-Panels</v>
      </c>
      <c r="D9" s="99"/>
      <c r="F9" s="129"/>
      <c r="G9" s="129"/>
      <c r="J9" s="138" t="str">
        <f>"- Bezeichnungen nach ECCS-Recommendations for Sandwich-Panels"</f>
        <v>- Bezeichnungen nach ECCS-Recommendations for Sandwich-Panels</v>
      </c>
      <c r="O9" s="130" t="str">
        <f>"- notations according to ECCS-Recommendations for Sandwichpanels"</f>
        <v>- notations according to ECCS-Recommendations for Sandwichpanels</v>
      </c>
    </row>
    <row r="10" spans="1:15" s="130" customFormat="1">
      <c r="B10" s="135"/>
      <c r="C10" s="130" t="str">
        <f t="shared" si="0"/>
        <v xml:space="preserve">  (Bericht 23.10.2000)</v>
      </c>
      <c r="D10" s="99"/>
      <c r="F10" s="129"/>
      <c r="G10" s="129"/>
      <c r="J10" s="138" t="str">
        <f>"  (Bericht 23.10.2000)"</f>
        <v xml:space="preserve">  (Bericht 23.10.2000)</v>
      </c>
      <c r="O10" s="130" t="str">
        <f>"- report from 23.10.2000"</f>
        <v>- report from 23.10.2000</v>
      </c>
    </row>
    <row r="11" spans="1:15" s="130" customFormat="1">
      <c r="B11" s="135"/>
      <c r="C11" s="130" t="str">
        <f t="shared" si="0"/>
        <v>- Berechnungsbreite B = 1 m = 1000 mm</v>
      </c>
      <c r="D11" s="99"/>
      <c r="F11" s="129"/>
      <c r="G11" s="129"/>
      <c r="J11" s="138" t="str">
        <f>"- Berechnungsbreite B = 1 m = 1000 mm"</f>
        <v>- Berechnungsbreite B = 1 m = 1000 mm</v>
      </c>
      <c r="O11" s="130" t="str">
        <f>"- width for calculation B = 1 m = 1000 mm"</f>
        <v>- width for calculation B = 1 m = 1000 mm</v>
      </c>
    </row>
    <row r="12" spans="1:15" s="130" customFormat="1">
      <c r="B12" s="135"/>
      <c r="C12" s="130" t="str">
        <f t="shared" si="0"/>
        <v>- analytische (genaue) Lösung für Schnittgrößen</v>
      </c>
      <c r="D12" s="99"/>
      <c r="F12" s="129"/>
      <c r="G12" s="129"/>
      <c r="J12" s="138" t="str">
        <f>"- analytische (genaue) Lösung für Schnittgrößen"</f>
        <v>- analytische (genaue) Lösung für Schnittgrößen</v>
      </c>
      <c r="O12" s="130" t="str">
        <f>"- analytic (exact) solution for the forces of inertia and the stresses"</f>
        <v>- analytic (exact) solution for the forces of inertia and the stresses</v>
      </c>
    </row>
    <row r="13" spans="1:15" s="130" customFormat="1">
      <c r="B13" s="135"/>
      <c r="C13" s="130" t="str">
        <f t="shared" si="0"/>
        <v>- Näherungslösung für Durchbiegungen am Zweifeldträger</v>
      </c>
      <c r="D13" s="99"/>
      <c r="F13" s="129"/>
      <c r="G13" s="129"/>
      <c r="J13" s="138" t="str">
        <f>"- Näherungslösung für Durchbiegungen am Zweifeldträger"</f>
        <v>- Näherungslösung für Durchbiegungen am Zweifeldträger</v>
      </c>
      <c r="O13" s="130" t="str">
        <f>"- approximate solution for defelction at two-span-panels"</f>
        <v>- approximate solution for defelction at two-span-panels</v>
      </c>
    </row>
    <row r="14" spans="1:15" s="130" customFormat="1" ht="157.15" customHeight="1">
      <c r="B14" s="135"/>
      <c r="C14" s="139"/>
      <c r="D14" s="99"/>
      <c r="E14" s="9"/>
      <c r="F14" s="129"/>
      <c r="G14" s="129"/>
    </row>
    <row r="15" spans="1:15" s="130" customFormat="1">
      <c r="A15" s="2" t="s">
        <v>3</v>
      </c>
      <c r="B15" s="31"/>
      <c r="C15" s="164">
        <f>'Eingabe - Input'!D22</f>
        <v>1</v>
      </c>
      <c r="D15" s="138"/>
      <c r="E15" s="139" t="s">
        <v>343</v>
      </c>
      <c r="F15" s="129"/>
      <c r="G15" s="129"/>
      <c r="H15" s="139" t="s">
        <v>115</v>
      </c>
    </row>
    <row r="16" spans="1:15" s="130" customFormat="1">
      <c r="A16" s="2"/>
      <c r="B16" s="31"/>
      <c r="C16" s="99"/>
      <c r="D16" s="138"/>
      <c r="E16" s="139"/>
      <c r="F16" s="129"/>
      <c r="G16" s="129"/>
    </row>
    <row r="17" spans="1:15">
      <c r="A17" s="2" t="str">
        <f t="shared" ref="A17:A21" si="1">IF($C$15=1,H17,M17)</f>
        <v>Querschnitts- und Materialkennwerte</v>
      </c>
      <c r="B17" s="31"/>
      <c r="H17" s="2" t="s">
        <v>94</v>
      </c>
      <c r="M17" s="2" t="s">
        <v>7</v>
      </c>
    </row>
    <row r="18" spans="1:15" ht="15">
      <c r="A18" s="4" t="str">
        <f t="shared" si="1"/>
        <v>Gesamtdicke</v>
      </c>
      <c r="B18" s="30" t="s">
        <v>8</v>
      </c>
      <c r="C18" s="163">
        <f>'Eingabe - Input'!D33</f>
        <v>80</v>
      </c>
      <c r="D18" s="7" t="s">
        <v>87</v>
      </c>
      <c r="H18" s="4" t="s">
        <v>10</v>
      </c>
      <c r="I18" s="4"/>
      <c r="J18" s="4"/>
      <c r="K18" s="4"/>
      <c r="L18" s="4"/>
      <c r="M18" s="17" t="s">
        <v>11</v>
      </c>
    </row>
    <row r="19" spans="1:15" ht="15.75">
      <c r="A19" s="4" t="str">
        <f t="shared" si="1"/>
        <v>Nennblechdicke außen</v>
      </c>
      <c r="B19" s="30" t="s">
        <v>344</v>
      </c>
      <c r="C19" s="163">
        <f>'Eingabe - Input'!D34</f>
        <v>0.6</v>
      </c>
      <c r="D19" s="7" t="s">
        <v>87</v>
      </c>
      <c r="H19" s="4" t="s">
        <v>12</v>
      </c>
      <c r="I19" s="4"/>
      <c r="J19" s="4"/>
      <c r="K19" s="4"/>
      <c r="L19" s="4"/>
      <c r="M19" s="17" t="s">
        <v>13</v>
      </c>
    </row>
    <row r="20" spans="1:15" ht="15.75">
      <c r="A20" s="4" t="str">
        <f t="shared" si="1"/>
        <v>Nennblechdicke innen</v>
      </c>
      <c r="B20" s="30" t="s">
        <v>345</v>
      </c>
      <c r="C20" s="163">
        <f>'Eingabe - Input'!D35</f>
        <v>0.5</v>
      </c>
      <c r="D20" s="7" t="s">
        <v>87</v>
      </c>
      <c r="H20" s="4" t="s">
        <v>27</v>
      </c>
      <c r="I20" s="4"/>
      <c r="J20" s="4"/>
      <c r="K20" s="4"/>
      <c r="L20" s="4"/>
      <c r="M20" s="17" t="s">
        <v>14</v>
      </c>
    </row>
    <row r="21" spans="1:15" ht="15">
      <c r="A21" s="4" t="str">
        <f t="shared" si="1"/>
        <v>Dicke der Zinkschicht</v>
      </c>
      <c r="C21" s="163">
        <f>'Eingabe - Input'!D36</f>
        <v>0.04</v>
      </c>
      <c r="D21" s="7" t="s">
        <v>87</v>
      </c>
      <c r="H21" s="4" t="s">
        <v>95</v>
      </c>
      <c r="I21" s="4"/>
      <c r="J21" s="4"/>
      <c r="K21" s="4"/>
      <c r="L21" s="4"/>
      <c r="M21" s="17" t="s">
        <v>5</v>
      </c>
    </row>
    <row r="23" spans="1:15">
      <c r="A23" s="140"/>
      <c r="B23" s="141"/>
      <c r="C23" s="142" t="s">
        <v>346</v>
      </c>
      <c r="D23" s="143" t="s">
        <v>347</v>
      </c>
      <c r="E23" s="144"/>
      <c r="N23" s="142" t="s">
        <v>348</v>
      </c>
      <c r="O23" s="143" t="s">
        <v>349</v>
      </c>
    </row>
    <row r="24" spans="1:15">
      <c r="A24" s="4" t="str">
        <f t="shared" ref="A24:A31" si="2">IF($C$15=1,H24,M24)</f>
        <v>Kernblechdicke</v>
      </c>
      <c r="C24" s="145">
        <f>C19-C21</f>
        <v>0.55999999999999994</v>
      </c>
      <c r="D24" s="8">
        <f>C20-C21</f>
        <v>0.46</v>
      </c>
      <c r="E24" s="4" t="s">
        <v>87</v>
      </c>
      <c r="H24" s="4" t="s">
        <v>88</v>
      </c>
      <c r="I24" s="4"/>
      <c r="J24" s="4"/>
      <c r="K24" s="4"/>
      <c r="L24" s="4"/>
      <c r="M24" s="17" t="s">
        <v>6</v>
      </c>
    </row>
    <row r="25" spans="1:15" ht="15.75">
      <c r="A25" s="4" t="str">
        <f>IF($C$15=1,H25,M25)</f>
        <v>Fläche der Deckschicht</v>
      </c>
      <c r="B25" s="30" t="s">
        <v>350</v>
      </c>
      <c r="C25" s="157">
        <f>'Eingabe - Input'!D42</f>
        <v>5.41</v>
      </c>
      <c r="D25" s="157">
        <f>'Eingabe - Input'!E42</f>
        <v>4.41</v>
      </c>
      <c r="E25" s="4" t="s">
        <v>351</v>
      </c>
      <c r="H25" s="4" t="s">
        <v>15</v>
      </c>
      <c r="I25" s="4"/>
      <c r="J25" s="4"/>
      <c r="K25" s="4"/>
      <c r="L25" s="4"/>
      <c r="M25" s="17" t="s">
        <v>16</v>
      </c>
    </row>
    <row r="26" spans="1:15" ht="15.75">
      <c r="A26" s="4" t="str">
        <f t="shared" si="2"/>
        <v>Trägheitsmoment der Deckschichten</v>
      </c>
      <c r="B26" s="146" t="s">
        <v>352</v>
      </c>
      <c r="C26" s="8">
        <v>0</v>
      </c>
      <c r="D26" s="8">
        <v>0</v>
      </c>
      <c r="E26" s="4" t="s">
        <v>353</v>
      </c>
      <c r="H26" s="4" t="s">
        <v>18</v>
      </c>
      <c r="I26" s="4"/>
      <c r="J26" s="4"/>
      <c r="K26" s="4"/>
      <c r="L26" s="4"/>
      <c r="M26" s="17" t="s">
        <v>17</v>
      </c>
    </row>
    <row r="27" spans="1:15" ht="15.75">
      <c r="A27" s="4" t="str">
        <f t="shared" si="2"/>
        <v>oberer Randabstand</v>
      </c>
      <c r="B27" s="30" t="s">
        <v>354</v>
      </c>
      <c r="C27" s="157">
        <f>'Eingabe - Input'!D44</f>
        <v>0.2</v>
      </c>
      <c r="D27" s="157">
        <f>'Eingabe - Input'!E44</f>
        <v>0.15</v>
      </c>
      <c r="E27" s="4" t="s">
        <v>87</v>
      </c>
      <c r="H27" s="4" t="s">
        <v>19</v>
      </c>
      <c r="I27" s="4"/>
      <c r="J27" s="4"/>
      <c r="K27" s="4"/>
      <c r="L27" s="4"/>
      <c r="M27" s="17" t="s">
        <v>355</v>
      </c>
    </row>
    <row r="28" spans="1:15" ht="15.75">
      <c r="A28" s="4" t="str">
        <f t="shared" si="2"/>
        <v>unterer Randabstand</v>
      </c>
      <c r="B28" s="30" t="s">
        <v>356</v>
      </c>
      <c r="C28" s="157">
        <f>'Eingabe - Input'!D45</f>
        <v>0.2</v>
      </c>
      <c r="D28" s="157">
        <f>'Eingabe - Input'!E45</f>
        <v>0.15</v>
      </c>
      <c r="E28" s="4" t="s">
        <v>87</v>
      </c>
      <c r="H28" s="4" t="s">
        <v>20</v>
      </c>
      <c r="I28" s="4"/>
      <c r="J28" s="4"/>
      <c r="K28" s="4"/>
      <c r="L28" s="4"/>
      <c r="M28" s="17" t="s">
        <v>357</v>
      </c>
    </row>
    <row r="29" spans="1:15" ht="15.75">
      <c r="A29" s="4" t="str">
        <f t="shared" si="2"/>
        <v>E-Modul</v>
      </c>
      <c r="B29" s="30" t="s">
        <v>358</v>
      </c>
      <c r="C29" s="158">
        <f>'Eingabe - Input'!D47</f>
        <v>210000</v>
      </c>
      <c r="D29" s="158">
        <f>'Eingabe - Input'!E47</f>
        <v>210000</v>
      </c>
      <c r="E29" s="4" t="s">
        <v>90</v>
      </c>
      <c r="H29" s="4" t="s">
        <v>89</v>
      </c>
      <c r="I29" s="4"/>
      <c r="J29" s="4"/>
      <c r="K29" s="4"/>
      <c r="L29" s="4"/>
      <c r="M29" s="4" t="s">
        <v>89</v>
      </c>
    </row>
    <row r="30" spans="1:15" ht="15.75">
      <c r="A30" s="4" t="str">
        <f t="shared" si="2"/>
        <v>Wärmeausdehnungskoeffizient</v>
      </c>
      <c r="B30" s="147" t="s">
        <v>359</v>
      </c>
      <c r="C30" s="158">
        <f>'Eingabe - Input'!D48</f>
        <v>1.2E-5</v>
      </c>
      <c r="D30" s="158">
        <f>'Eingabe - Input'!E48</f>
        <v>1.2E-5</v>
      </c>
      <c r="E30" s="4" t="s">
        <v>91</v>
      </c>
      <c r="H30" s="4" t="s">
        <v>22</v>
      </c>
      <c r="I30" s="4"/>
      <c r="J30" s="4"/>
      <c r="K30" s="4"/>
      <c r="L30" s="4"/>
      <c r="M30" s="17" t="s">
        <v>21</v>
      </c>
    </row>
    <row r="31" spans="1:15" ht="15.75">
      <c r="A31" s="4" t="str">
        <f t="shared" si="2"/>
        <v>Schubmodul</v>
      </c>
      <c r="B31" s="123" t="s">
        <v>409</v>
      </c>
      <c r="C31" s="159">
        <f>'Eingabe - Input'!$D$51/(1+'Eingabe - Input'!$M$53)</f>
        <v>2.3529411764705883</v>
      </c>
      <c r="D31" s="148" t="s">
        <v>90</v>
      </c>
      <c r="H31" s="4" t="s">
        <v>23</v>
      </c>
      <c r="I31" s="4"/>
      <c r="J31" s="4"/>
      <c r="K31" s="4"/>
      <c r="L31" s="4"/>
      <c r="M31" s="17" t="s">
        <v>24</v>
      </c>
    </row>
    <row r="32" spans="1:15" ht="39" customHeight="1"/>
    <row r="33" spans="1:61">
      <c r="A33" s="2" t="str">
        <f t="shared" ref="A33:A35" si="3">IF($C$15=1,H33,M33)</f>
        <v>Statisches System und Grundlasten</v>
      </c>
      <c r="B33" s="31"/>
      <c r="H33" s="2" t="s">
        <v>263</v>
      </c>
      <c r="M33" s="2" t="s">
        <v>264</v>
      </c>
    </row>
    <row r="34" spans="1:61">
      <c r="A34" s="4" t="str">
        <f t="shared" si="3"/>
        <v>Anzahl Felder</v>
      </c>
      <c r="C34" s="160">
        <f>'Eingabe - Input'!M58</f>
        <v>2</v>
      </c>
      <c r="D34" s="4" t="str">
        <f>IF($C$15=1,K34,P34)</f>
        <v>Felder</v>
      </c>
      <c r="E34" s="9" t="str">
        <f>IF(AND(C34&lt;&gt;1,C34&lt;&gt;2),"Falsche Eingabe, nur 1 oder 2 Felder zulässig","")</f>
        <v/>
      </c>
      <c r="H34" s="4" t="s">
        <v>0</v>
      </c>
      <c r="K34" s="17" t="s">
        <v>96</v>
      </c>
      <c r="M34" s="17" t="s">
        <v>83</v>
      </c>
      <c r="P34" s="17" t="s">
        <v>86</v>
      </c>
    </row>
    <row r="35" spans="1:61">
      <c r="A35" s="4" t="str">
        <f t="shared" si="3"/>
        <v>Einzelstützweite</v>
      </c>
      <c r="B35" s="30" t="s">
        <v>25</v>
      </c>
      <c r="C35" s="161">
        <f>'Eingabe - Input'!M59</f>
        <v>2</v>
      </c>
      <c r="D35" s="7" t="s">
        <v>98</v>
      </c>
      <c r="E35" s="9" t="str">
        <f>IF(AND(C34=2,D26&lt;&gt;0),"Kombination nicht möglich, nachfolgende Ergebnise falsch","")</f>
        <v/>
      </c>
      <c r="H35" s="4" t="s">
        <v>26</v>
      </c>
      <c r="M35" s="17" t="s">
        <v>84</v>
      </c>
    </row>
    <row r="36" spans="1:61">
      <c r="A36" s="4" t="str">
        <f>IF($C$15=1,H36,M36)</f>
        <v>Gleichstreckenlast Schnee</v>
      </c>
      <c r="B36" s="123" t="s">
        <v>204</v>
      </c>
      <c r="C36" s="161">
        <f>'Eingabe - Input'!M61</f>
        <v>1.3</v>
      </c>
      <c r="D36" s="7" t="s">
        <v>97</v>
      </c>
      <c r="H36" s="17" t="s">
        <v>407</v>
      </c>
      <c r="M36" s="150" t="s">
        <v>408</v>
      </c>
    </row>
    <row r="37" spans="1:61" ht="39" customHeight="1"/>
    <row r="38" spans="1:61">
      <c r="A38" s="2" t="str">
        <f>IF($C$15=1,H38,M38)</f>
        <v>Gesamtelement (Hilfswerte und Zwischenergebnisse)</v>
      </c>
      <c r="B38" s="31"/>
      <c r="E38" s="2" t="str">
        <f>IF($C$15=1,L38,Q38)</f>
        <v>Erläuterungen/Formeln</v>
      </c>
      <c r="F38" s="18" t="s">
        <v>104</v>
      </c>
      <c r="G38" s="18" t="s">
        <v>101</v>
      </c>
      <c r="H38" s="2" t="s">
        <v>99</v>
      </c>
      <c r="I38" s="2"/>
      <c r="J38" s="3"/>
      <c r="K38" s="3"/>
      <c r="L38" s="2" t="s">
        <v>1</v>
      </c>
      <c r="M38" s="2" t="s">
        <v>175</v>
      </c>
      <c r="N38" s="2"/>
      <c r="O38" s="3"/>
      <c r="P38" s="3"/>
      <c r="Q38" s="2" t="s">
        <v>176</v>
      </c>
    </row>
    <row r="39" spans="1:61">
      <c r="A39" s="4" t="str">
        <f>IF($C$15=1,H39,M39)</f>
        <v>Deckschichtabstand</v>
      </c>
      <c r="B39" s="30" t="s">
        <v>28</v>
      </c>
      <c r="C39" s="8">
        <f>$C$18-$C$27-$D$28-$C$24/2-$D$24/2</f>
        <v>79.139999999999986</v>
      </c>
      <c r="D39" s="7" t="s">
        <v>87</v>
      </c>
      <c r="H39" s="4" t="s">
        <v>170</v>
      </c>
      <c r="M39" s="4" t="s">
        <v>82</v>
      </c>
    </row>
    <row r="40" spans="1:61" ht="15.75">
      <c r="A40" s="4" t="str">
        <f>IF($C$15=1,H40,M40)</f>
        <v>Kernfläche</v>
      </c>
      <c r="B40" s="30" t="s">
        <v>369</v>
      </c>
      <c r="C40" s="8">
        <f>C39*100/10</f>
        <v>791.39999999999986</v>
      </c>
      <c r="D40" s="7" t="s">
        <v>109</v>
      </c>
      <c r="H40" s="4" t="s">
        <v>171</v>
      </c>
      <c r="M40" s="4" t="s">
        <v>172</v>
      </c>
    </row>
    <row r="41" spans="1:61" ht="15.75">
      <c r="A41" s="4" t="s">
        <v>92</v>
      </c>
      <c r="B41" s="30" t="s">
        <v>30</v>
      </c>
      <c r="C41" s="149">
        <f>($C$29/10)*$C$25*($D$29/10)*$D$25*(($C$39/10)^2)/(($C$29/10)*$C$25+($D$29/10)*$D$25)</f>
        <v>3195477.4223074936</v>
      </c>
      <c r="D41" s="7" t="s">
        <v>93</v>
      </c>
      <c r="H41" s="4"/>
      <c r="M41" s="4"/>
    </row>
    <row r="42" spans="1:61" ht="15.75">
      <c r="A42" s="17" t="s">
        <v>107</v>
      </c>
      <c r="B42" s="123" t="s">
        <v>31</v>
      </c>
      <c r="C42" s="149">
        <f>C26*C29/10</f>
        <v>0</v>
      </c>
      <c r="D42" s="7" t="s">
        <v>93</v>
      </c>
    </row>
    <row r="43" spans="1:61" customFormat="1" ht="15.75">
      <c r="A43" s="17" t="s">
        <v>106</v>
      </c>
      <c r="B43" s="123" t="s">
        <v>32</v>
      </c>
      <c r="C43" s="149">
        <f>D26*D29/10</f>
        <v>0</v>
      </c>
      <c r="D43" s="7" t="s">
        <v>93</v>
      </c>
      <c r="H43" s="17"/>
      <c r="I43" s="150"/>
      <c r="J43" s="150"/>
      <c r="K43" s="150"/>
      <c r="L43" s="150"/>
      <c r="M43" s="17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</row>
    <row r="44" spans="1:61" ht="15.75">
      <c r="A44" s="17" t="s">
        <v>164</v>
      </c>
      <c r="B44" s="123" t="s">
        <v>41</v>
      </c>
      <c r="C44" s="151">
        <f>C31*C40/10</f>
        <v>186.21176470588233</v>
      </c>
      <c r="D44" s="7" t="s">
        <v>110</v>
      </c>
      <c r="F44" s="18"/>
      <c r="G44" s="18"/>
    </row>
    <row r="45" spans="1:61">
      <c r="A45" s="4" t="str">
        <f>IF($C$15=1,H45,M45)</f>
        <v>Hilfswerte und Zwischenergebnisse:</v>
      </c>
      <c r="B45" s="123" t="s">
        <v>370</v>
      </c>
      <c r="C45" s="152">
        <f>G45</f>
        <v>1.2870336471575863</v>
      </c>
      <c r="D45" s="7"/>
      <c r="E45" s="4" t="str">
        <f>IF($C$34=1,"wird nur für 2-Feld-Berechnung benötigt","")</f>
        <v/>
      </c>
      <c r="F45" s="19">
        <f>3*$C$41/($C$35*$C$35*10000*$C$44)</f>
        <v>1.2870336471575863</v>
      </c>
      <c r="G45" s="19">
        <f>3*$C$41/($C$35*$C$35*10000*$C$44)</f>
        <v>1.2870336471575863</v>
      </c>
      <c r="H45" s="17" t="s">
        <v>173</v>
      </c>
      <c r="M45" s="17" t="s">
        <v>174</v>
      </c>
    </row>
    <row r="46" spans="1:61" ht="39" customHeight="1">
      <c r="B46" s="123"/>
      <c r="C46" s="152"/>
      <c r="D46" s="7"/>
      <c r="F46" s="19"/>
      <c r="G46" s="19"/>
    </row>
    <row r="47" spans="1:61" ht="72.599999999999994" customHeight="1">
      <c r="A47" s="34"/>
      <c r="B47" s="35"/>
      <c r="C47" s="36"/>
      <c r="D47" s="37"/>
      <c r="E47" s="34"/>
      <c r="F47" s="17"/>
      <c r="G47" s="17"/>
    </row>
    <row r="48" spans="1:61" s="44" customFormat="1" ht="13.15" customHeight="1">
      <c r="A48" s="153" t="str">
        <f>IF($C$15=1,H48,M48)</f>
        <v>Schnittgrößenbezeichnungen am Querschnitt</v>
      </c>
      <c r="B48" s="39"/>
      <c r="C48" s="40"/>
      <c r="D48" s="41"/>
      <c r="E48" s="153" t="str">
        <f>IF($C$15=1,L48,Q48)</f>
        <v>Spannungsverteilung</v>
      </c>
      <c r="F48" s="42"/>
      <c r="G48" s="42"/>
      <c r="H48" s="42" t="s">
        <v>111</v>
      </c>
      <c r="I48" s="42"/>
      <c r="J48" s="42"/>
      <c r="K48" s="42"/>
      <c r="L48" s="42" t="s">
        <v>112</v>
      </c>
      <c r="M48" s="42" t="s">
        <v>113</v>
      </c>
      <c r="N48" s="42"/>
      <c r="O48" s="42"/>
      <c r="P48" s="42"/>
      <c r="Q48" s="42" t="s">
        <v>114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</row>
    <row r="49" spans="1:61" s="44" customFormat="1" ht="39" customHeight="1">
      <c r="A49" s="153"/>
      <c r="B49" s="39"/>
      <c r="C49" s="40"/>
      <c r="D49" s="41"/>
      <c r="E49" s="15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</row>
    <row r="50" spans="1:61">
      <c r="A50" s="154" t="str">
        <f>IF($C$15=1,H50,M50)</f>
        <v>Schnittgrößen für Gleichstreckenlast</v>
      </c>
      <c r="B50" s="31" t="s">
        <v>361</v>
      </c>
      <c r="C50" s="20">
        <f>C36</f>
        <v>1.3</v>
      </c>
      <c r="D50" s="12" t="s">
        <v>97</v>
      </c>
      <c r="F50" s="18" t="s">
        <v>104</v>
      </c>
      <c r="G50" s="18" t="s">
        <v>101</v>
      </c>
      <c r="H50" s="2" t="s">
        <v>43</v>
      </c>
      <c r="I50" s="2"/>
      <c r="J50" s="20"/>
      <c r="K50" s="12"/>
      <c r="L50" s="7"/>
      <c r="M50" s="139" t="s">
        <v>81</v>
      </c>
      <c r="N50" s="18"/>
      <c r="O50" s="18"/>
      <c r="P50" s="18"/>
    </row>
    <row r="51" spans="1:61" ht="15.75">
      <c r="A51" s="4" t="str">
        <f>IF($C$15=1,H51,M51)</f>
        <v>Sandwichmoment</v>
      </c>
      <c r="B51" s="30" t="s">
        <v>371</v>
      </c>
      <c r="C51" s="13">
        <f t="shared" ref="C51:C59" si="4">IF($C$34=1,F51,IF($C$34=2,G51,""))</f>
        <v>-0.28421094757737608</v>
      </c>
      <c r="D51" s="7" t="s">
        <v>100</v>
      </c>
      <c r="E51" s="4" t="str">
        <f>IF($C$15=1,L51,Q51)</f>
        <v>über Innenstütze</v>
      </c>
      <c r="F51" s="19">
        <f>$C$50*$C$35*$C$35/8</f>
        <v>0.65</v>
      </c>
      <c r="G51" s="19">
        <f>-$C$50*$C$35*$C$35/8*1/(1+C45)</f>
        <v>-0.28421094757737608</v>
      </c>
      <c r="H51" s="4" t="s">
        <v>46</v>
      </c>
      <c r="I51" s="4"/>
      <c r="J51" s="13"/>
      <c r="K51" s="7"/>
      <c r="L51" s="4" t="str">
        <f>IF($C$34=1,"in Feldmitte","über Innenstütze")</f>
        <v>über Innenstütze</v>
      </c>
      <c r="M51" s="139" t="s">
        <v>66</v>
      </c>
      <c r="N51" s="18"/>
      <c r="O51" s="18"/>
      <c r="P51" s="18"/>
      <c r="Q51" s="4" t="str">
        <f>IF($C$34=1,"at midspan","at intermediate support")</f>
        <v>at intermediate support</v>
      </c>
    </row>
    <row r="52" spans="1:61" ht="15.75">
      <c r="A52" s="4" t="str">
        <f t="shared" ref="A52:A62" si="5">IF($C$15=1,H52,M52)</f>
        <v>Deckschichtmoment</v>
      </c>
      <c r="B52" s="30" t="s">
        <v>372</v>
      </c>
      <c r="C52" s="13">
        <f t="shared" si="4"/>
        <v>0</v>
      </c>
      <c r="D52" s="7" t="s">
        <v>100</v>
      </c>
      <c r="E52" s="4" t="str">
        <f t="shared" ref="E52:E62" si="6">IF($C$15=1,L52,Q52)</f>
        <v>über Innenstütze</v>
      </c>
      <c r="F52" s="19">
        <v>0</v>
      </c>
      <c r="G52" s="19">
        <v>0</v>
      </c>
      <c r="H52" s="4" t="s">
        <v>47</v>
      </c>
      <c r="I52" s="4"/>
      <c r="J52" s="13"/>
      <c r="K52" s="7"/>
      <c r="L52" s="4" t="str">
        <f>IF($C$34=1,"in Feldmitte","über Innenstütze")</f>
        <v>über Innenstütze</v>
      </c>
      <c r="M52" s="139" t="s">
        <v>64</v>
      </c>
      <c r="N52" s="18"/>
      <c r="O52" s="18"/>
      <c r="P52" s="18"/>
      <c r="Q52" s="4" t="str">
        <f>IF($C$34=1,"at midspan","at intermediate support")</f>
        <v>at intermediate support</v>
      </c>
    </row>
    <row r="53" spans="1:61" ht="15.75">
      <c r="A53" s="4" t="str">
        <f t="shared" si="5"/>
        <v>Deckschichtmoment</v>
      </c>
      <c r="B53" s="30" t="s">
        <v>373</v>
      </c>
      <c r="C53" s="13">
        <f t="shared" si="4"/>
        <v>0</v>
      </c>
      <c r="D53" s="7" t="s">
        <v>100</v>
      </c>
      <c r="E53" s="4" t="str">
        <f t="shared" si="6"/>
        <v>über Innenstütze</v>
      </c>
      <c r="F53" s="19">
        <v>0</v>
      </c>
      <c r="G53" s="19">
        <v>0</v>
      </c>
      <c r="H53" s="4" t="s">
        <v>47</v>
      </c>
      <c r="I53" s="4"/>
      <c r="J53" s="13"/>
      <c r="K53" s="7"/>
      <c r="L53" s="4" t="str">
        <f>IF($C$34=1,"in Feldmitte","über Innenstütze")</f>
        <v>über Innenstütze</v>
      </c>
      <c r="M53" s="139" t="s">
        <v>65</v>
      </c>
      <c r="N53" s="152"/>
      <c r="O53" s="152"/>
      <c r="P53" s="152"/>
      <c r="Q53" s="4" t="str">
        <f>IF($C$34=1,"at midspan","at intermediate support")</f>
        <v>at intermediate support</v>
      </c>
    </row>
    <row r="54" spans="1:61" ht="15.75">
      <c r="A54" s="4" t="str">
        <f t="shared" si="5"/>
        <v>Querkraft in der Kernschicht</v>
      </c>
      <c r="B54" s="30" t="s">
        <v>374</v>
      </c>
      <c r="C54" s="13">
        <f t="shared" si="4"/>
        <v>1.442105473788688</v>
      </c>
      <c r="D54" s="7" t="s">
        <v>102</v>
      </c>
      <c r="E54" s="4" t="str">
        <f t="shared" si="6"/>
        <v>neben der Innenstütze</v>
      </c>
      <c r="F54" s="19">
        <f>$C$50*$C$35/2</f>
        <v>1.3</v>
      </c>
      <c r="G54" s="19">
        <f>$C$50*$C$35/2*(1+(1/(4*(1+C45))))</f>
        <v>1.442105473788688</v>
      </c>
      <c r="H54" s="4" t="s">
        <v>48</v>
      </c>
      <c r="I54" s="4"/>
      <c r="J54" s="13"/>
      <c r="K54" s="7"/>
      <c r="L54" s="4" t="str">
        <f>IF($C$34=1,"am Endauflager","neben der Innenstütze")</f>
        <v>neben der Innenstütze</v>
      </c>
      <c r="M54" s="119" t="s">
        <v>67</v>
      </c>
      <c r="N54" s="152"/>
      <c r="O54" s="152"/>
      <c r="P54" s="152"/>
      <c r="Q54" s="4" t="str">
        <f>IF($C$34=1,"at end support","beside the intermediate support")</f>
        <v>beside the intermediate support</v>
      </c>
    </row>
    <row r="55" spans="1:61" ht="15.75">
      <c r="A55" s="4" t="str">
        <f t="shared" si="5"/>
        <v>Querkraft in Deckschicht</v>
      </c>
      <c r="B55" s="30" t="s">
        <v>375</v>
      </c>
      <c r="C55" s="13">
        <f t="shared" si="4"/>
        <v>0</v>
      </c>
      <c r="D55" s="7" t="s">
        <v>102</v>
      </c>
      <c r="E55" s="4" t="str">
        <f t="shared" si="6"/>
        <v/>
      </c>
      <c r="F55" s="19">
        <v>0</v>
      </c>
      <c r="G55" s="19">
        <v>0</v>
      </c>
      <c r="H55" s="4" t="s">
        <v>54</v>
      </c>
      <c r="I55" s="4"/>
      <c r="J55" s="13"/>
      <c r="K55" s="7"/>
      <c r="L55" s="4" t="str">
        <f>""</f>
        <v/>
      </c>
      <c r="M55" s="119" t="s">
        <v>68</v>
      </c>
      <c r="N55" s="152"/>
      <c r="O55" s="152"/>
      <c r="P55" s="152"/>
      <c r="Q55" s="4" t="str">
        <f>""</f>
        <v/>
      </c>
    </row>
    <row r="56" spans="1:61" ht="15.75">
      <c r="A56" s="4" t="str">
        <f t="shared" si="5"/>
        <v>Querkraft in Deckschicht</v>
      </c>
      <c r="B56" s="30" t="s">
        <v>376</v>
      </c>
      <c r="C56" s="13">
        <f t="shared" si="4"/>
        <v>0</v>
      </c>
      <c r="D56" s="7" t="s">
        <v>102</v>
      </c>
      <c r="E56" s="4" t="str">
        <f t="shared" si="6"/>
        <v/>
      </c>
      <c r="F56" s="19">
        <v>0</v>
      </c>
      <c r="G56" s="19">
        <v>0</v>
      </c>
      <c r="H56" s="4" t="s">
        <v>54</v>
      </c>
      <c r="I56" s="4"/>
      <c r="J56" s="13"/>
      <c r="K56" s="7"/>
      <c r="L56" s="4" t="str">
        <f>""</f>
        <v/>
      </c>
      <c r="M56" s="119" t="s">
        <v>69</v>
      </c>
      <c r="N56" s="152"/>
      <c r="O56" s="152"/>
      <c r="P56" s="152"/>
      <c r="Q56" s="4" t="str">
        <f>""</f>
        <v/>
      </c>
    </row>
    <row r="57" spans="1:61" ht="15.75">
      <c r="A57" s="4" t="str">
        <f t="shared" si="5"/>
        <v>Endauflagerkraft</v>
      </c>
      <c r="B57" s="30" t="s">
        <v>377</v>
      </c>
      <c r="C57" s="13">
        <f t="shared" si="4"/>
        <v>1.1578945262113121</v>
      </c>
      <c r="D57" s="7" t="s">
        <v>102</v>
      </c>
      <c r="E57" s="4" t="str">
        <f t="shared" si="6"/>
        <v/>
      </c>
      <c r="F57" s="19">
        <f>F56+F55+F54</f>
        <v>1.3</v>
      </c>
      <c r="G57" s="19">
        <f>$C$50*$C$35-$G$54</f>
        <v>1.1578945262113121</v>
      </c>
      <c r="H57" s="4" t="s">
        <v>55</v>
      </c>
      <c r="I57" s="4"/>
      <c r="J57" s="13"/>
      <c r="K57" s="7"/>
      <c r="L57" s="4" t="str">
        <f>""</f>
        <v/>
      </c>
      <c r="M57" s="119" t="s">
        <v>70</v>
      </c>
      <c r="P57" s="152"/>
      <c r="Q57" s="4" t="str">
        <f>""</f>
        <v/>
      </c>
    </row>
    <row r="58" spans="1:61" ht="15.75">
      <c r="A58" s="4" t="str">
        <f t="shared" si="5"/>
        <v>Zwischenauflagerkraft</v>
      </c>
      <c r="B58" s="123" t="s">
        <v>53</v>
      </c>
      <c r="C58" s="13">
        <f>IF($C$34=1,"",IF($C$34=2,G58,""))</f>
        <v>2.8842109475773761</v>
      </c>
      <c r="D58" s="7" t="s">
        <v>102</v>
      </c>
      <c r="E58" s="4" t="str">
        <f t="shared" si="6"/>
        <v/>
      </c>
      <c r="F58" s="19">
        <v>0</v>
      </c>
      <c r="G58" s="19">
        <f>2*$G$54</f>
        <v>2.8842109475773761</v>
      </c>
      <c r="H58" s="17" t="s">
        <v>56</v>
      </c>
      <c r="J58" s="13"/>
      <c r="K58" s="7"/>
      <c r="L58" s="4" t="str">
        <f>""</f>
        <v/>
      </c>
      <c r="M58" s="139" t="s">
        <v>71</v>
      </c>
      <c r="Q58" s="4" t="str">
        <f>""</f>
        <v/>
      </c>
    </row>
    <row r="59" spans="1:61">
      <c r="A59" s="4" t="str">
        <f t="shared" si="5"/>
        <v>Durchbiegung</v>
      </c>
      <c r="B59" s="123" t="s">
        <v>378</v>
      </c>
      <c r="C59" s="13">
        <f t="shared" si="4"/>
        <v>0.41217768830559154</v>
      </c>
      <c r="D59" s="7" t="s">
        <v>103</v>
      </c>
      <c r="E59" s="4" t="str">
        <f t="shared" si="6"/>
        <v>* zwischen x = 0,375 L und x = 0,5 L</v>
      </c>
      <c r="F59" s="19">
        <f>5*$C$50/100*((100*$C$35)^4)*(1+16/5*$F$45)/(384*$C$41)</f>
        <v>0.43382014985485462</v>
      </c>
      <c r="G59" s="19">
        <f>C50/100*((C35*100)^4)*(0.26+2.625*G45+2*G45*G45)/(48*C41*(1+G45))</f>
        <v>0.41217768830559154</v>
      </c>
      <c r="H59" s="17" t="s">
        <v>57</v>
      </c>
      <c r="J59" s="13"/>
      <c r="K59" s="7"/>
      <c r="L59" s="4" t="str">
        <f>IF($C$34=1,"* in Feldmitte","* zwischen x = 0,375 L und x = 0,5 L")</f>
        <v>* zwischen x = 0,375 L und x = 0,5 L</v>
      </c>
      <c r="M59" s="139" t="s">
        <v>379</v>
      </c>
      <c r="Q59" s="4" t="str">
        <f>IF($C$34=1,"* at midspan","* between x = 0,375 L and x = 0,5 L")</f>
        <v>* between x = 0,375 L and x = 0,5 L</v>
      </c>
    </row>
    <row r="60" spans="1:61" ht="15.75">
      <c r="A60" s="4" t="str">
        <f t="shared" si="5"/>
        <v>Normalspannungen oberes Deckblech</v>
      </c>
      <c r="B60" s="147" t="s">
        <v>58</v>
      </c>
      <c r="C60" s="14">
        <f>-C51*10000/($C$39*$C$25)</f>
        <v>6.6381565689147273</v>
      </c>
      <c r="D60" s="7" t="s">
        <v>90</v>
      </c>
      <c r="E60" s="4" t="str">
        <f t="shared" si="6"/>
        <v>über Innenstütze</v>
      </c>
      <c r="F60" s="19">
        <f>-F51*10000/($C$39*$C$25)</f>
        <v>-15.181687428208138</v>
      </c>
      <c r="G60" s="19"/>
      <c r="H60" s="17" t="s">
        <v>380</v>
      </c>
      <c r="J60" s="14"/>
      <c r="K60" s="7"/>
      <c r="L60" s="4" t="str">
        <f>IF($C$34=1,"in Feldmitte","über Innenstütze")</f>
        <v>über Innenstütze</v>
      </c>
      <c r="M60" s="139" t="s">
        <v>381</v>
      </c>
      <c r="Q60" s="4" t="str">
        <f>IF($C$34=1,"at midspan","at intermediate support")</f>
        <v>at intermediate support</v>
      </c>
    </row>
    <row r="61" spans="1:61" ht="15.75">
      <c r="A61" s="4" t="str">
        <f t="shared" si="5"/>
        <v>Normalspannungen unters Deckblech</v>
      </c>
      <c r="B61" s="147" t="s">
        <v>60</v>
      </c>
      <c r="C61" s="14">
        <f>C51*10000/($C$39*$D$25)</f>
        <v>-8.1434074915711285</v>
      </c>
      <c r="D61" s="7" t="s">
        <v>90</v>
      </c>
      <c r="E61" s="4" t="str">
        <f t="shared" si="6"/>
        <v>über Innenstütze</v>
      </c>
      <c r="F61" s="19">
        <f>F51*10000/($C$39*$D$25)</f>
        <v>18.624246935738327</v>
      </c>
      <c r="G61" s="19"/>
      <c r="H61" s="17" t="s">
        <v>382</v>
      </c>
      <c r="J61" s="14"/>
      <c r="K61" s="7"/>
      <c r="L61" s="4" t="str">
        <f>IF($C$34=1,"in Feldmitte","über Innenstütze")</f>
        <v>über Innenstütze</v>
      </c>
      <c r="M61" s="139" t="s">
        <v>383</v>
      </c>
      <c r="Q61" s="4" t="str">
        <f>IF($C$34=1,"at midspan","at intermediate support")</f>
        <v>at intermediate support</v>
      </c>
    </row>
    <row r="62" spans="1:61" ht="15.75">
      <c r="A62" s="4" t="str">
        <f t="shared" si="5"/>
        <v>Schubspannung im Kern</v>
      </c>
      <c r="B62" s="147" t="s">
        <v>62</v>
      </c>
      <c r="C62" s="13">
        <f>C54*10/$C$40</f>
        <v>1.8222207149212639E-2</v>
      </c>
      <c r="D62" s="7" t="s">
        <v>90</v>
      </c>
      <c r="E62" s="4" t="str">
        <f t="shared" si="6"/>
        <v>neben der Innenstütze</v>
      </c>
      <c r="F62" s="19">
        <f>F54*10/$C$40</f>
        <v>1.6426585797321206E-2</v>
      </c>
      <c r="G62" s="19"/>
      <c r="H62" s="17" t="s">
        <v>63</v>
      </c>
      <c r="J62" s="13"/>
      <c r="K62" s="7"/>
      <c r="L62" s="4" t="str">
        <f>IF($C$34=1,"am Endauflager","neben der Innenstütze")</f>
        <v>neben der Innenstütze</v>
      </c>
      <c r="M62" s="139" t="s">
        <v>78</v>
      </c>
      <c r="Q62" s="4" t="str">
        <f>IF($C$34=1,"at end support","beside the intermediate support")</f>
        <v>beside the intermediate support</v>
      </c>
    </row>
  </sheetData>
  <mergeCells count="4">
    <mergeCell ref="A3:E3"/>
    <mergeCell ref="H3:L3"/>
    <mergeCell ref="A4:E4"/>
    <mergeCell ref="H4:L4"/>
  </mergeCells>
  <conditionalFormatting sqref="L62 E54 L54">
    <cfRule type="cellIs" dxfId="4" priority="1" stopIfTrue="1" operator="equal">
      <formula>"neben der Innenstütze*"</formula>
    </cfRule>
  </conditionalFormatting>
  <conditionalFormatting sqref="Q62 Q54">
    <cfRule type="cellIs" dxfId="3" priority="2" stopIfTrue="1" operator="equal">
      <formula>"beside the intermediate support*"</formula>
    </cfRule>
  </conditionalFormatting>
  <conditionalFormatting sqref="L59">
    <cfRule type="cellIs" dxfId="2" priority="3" stopIfTrue="1" operator="equal">
      <formula>"zur genauen Ermittlung z. B. SandStat verwenden"</formula>
    </cfRule>
  </conditionalFormatting>
  <conditionalFormatting sqref="L55:L58 Q55:Q58">
    <cfRule type="cellIs" dxfId="1" priority="4" stopIfTrue="1" operator="equal">
      <formula>"*"</formula>
    </cfRule>
  </conditionalFormatting>
  <conditionalFormatting sqref="Q59">
    <cfRule type="cellIs" dxfId="0" priority="5" stopIfTrue="1" operator="equal">
      <formula>"for more exact determination use e. x. SandStat"</formula>
    </cfRule>
  </conditionalFormatting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7889" r:id="rId3">
          <objectPr defaultSize="0" autoPict="0" r:id="rId4">
            <anchor moveWithCells="1">
              <from>
                <xdr:col>4</xdr:col>
                <xdr:colOff>9525</xdr:colOff>
                <xdr:row>40</xdr:row>
                <xdr:rowOff>95250</xdr:rowOff>
              </from>
              <to>
                <xdr:col>4</xdr:col>
                <xdr:colOff>1428750</xdr:colOff>
                <xdr:row>42</xdr:row>
                <xdr:rowOff>38100</xdr:rowOff>
              </to>
            </anchor>
          </objectPr>
        </oleObject>
      </mc:Choice>
      <mc:Fallback>
        <oleObject progId="Equation.3" shapeId="37889" r:id="rId3"/>
      </mc:Fallback>
    </mc:AlternateContent>
    <mc:AlternateContent xmlns:mc="http://schemas.openxmlformats.org/markup-compatibility/2006">
      <mc:Choice Requires="x14">
        <oleObject progId="Equation.3" shapeId="37890" r:id="rId5">
          <objectPr defaultSize="0" autoPict="0" r:id="rId6">
            <anchor moveWithCells="1">
              <from>
                <xdr:col>4</xdr:col>
                <xdr:colOff>9525</xdr:colOff>
                <xdr:row>38</xdr:row>
                <xdr:rowOff>0</xdr:rowOff>
              </from>
              <to>
                <xdr:col>4</xdr:col>
                <xdr:colOff>1533525</xdr:colOff>
                <xdr:row>40</xdr:row>
                <xdr:rowOff>0</xdr:rowOff>
              </to>
            </anchor>
          </objectPr>
        </oleObject>
      </mc:Choice>
      <mc:Fallback>
        <oleObject progId="Equation.3" shapeId="37890" r:id="rId5"/>
      </mc:Fallback>
    </mc:AlternateContent>
    <mc:AlternateContent xmlns:mc="http://schemas.openxmlformats.org/markup-compatibility/2006">
      <mc:Choice Requires="x14">
        <oleObject progId="Equation.3" shapeId="37891" r:id="rId7">
          <objectPr defaultSize="0" autoPict="0" r:id="rId8">
            <anchor moveWithCells="1">
              <from>
                <xdr:col>4</xdr:col>
                <xdr:colOff>9525</xdr:colOff>
                <xdr:row>42</xdr:row>
                <xdr:rowOff>180975</xdr:rowOff>
              </from>
              <to>
                <xdr:col>4</xdr:col>
                <xdr:colOff>762000</xdr:colOff>
                <xdr:row>44</xdr:row>
                <xdr:rowOff>114300</xdr:rowOff>
              </to>
            </anchor>
          </objectPr>
        </oleObject>
      </mc:Choice>
      <mc:Fallback>
        <oleObject progId="Equation.3" shapeId="37891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B2:AB67"/>
  <sheetViews>
    <sheetView topLeftCell="A37" zoomScaleNormal="100" workbookViewId="0">
      <selection activeCell="I54" sqref="I54"/>
    </sheetView>
  </sheetViews>
  <sheetFormatPr baseColWidth="10" defaultRowHeight="12.75"/>
  <cols>
    <col min="1" max="1" width="11.42578125" style="60"/>
    <col min="2" max="2" width="14" style="60" customWidth="1"/>
    <col min="3" max="3" width="11.42578125" style="60"/>
    <col min="4" max="4" width="12.5703125" style="60" bestFit="1" customWidth="1"/>
    <col min="5" max="5" width="11.42578125" style="60"/>
    <col min="6" max="6" width="42" style="60" customWidth="1"/>
    <col min="7" max="7" width="41.140625" style="60" customWidth="1"/>
    <col min="8" max="8" width="12.5703125" style="60" customWidth="1"/>
    <col min="9" max="9" width="13.140625" style="60" customWidth="1"/>
    <col min="10" max="11" width="13" style="60" customWidth="1"/>
    <col min="12" max="12" width="4.5703125" style="60" customWidth="1"/>
    <col min="13" max="13" width="13.140625" style="60" bestFit="1" customWidth="1"/>
    <col min="14" max="15" width="11.5703125" style="60" bestFit="1" customWidth="1"/>
    <col min="16" max="16" width="12.5703125" style="60" bestFit="1" customWidth="1"/>
    <col min="17" max="17" width="7.85546875" style="60" customWidth="1"/>
    <col min="18" max="19" width="11.5703125" style="60" bestFit="1" customWidth="1"/>
    <col min="20" max="20" width="7.7109375" style="60" customWidth="1"/>
    <col min="21" max="21" width="11.5703125" style="60" bestFit="1" customWidth="1"/>
    <col min="22" max="22" width="8.28515625" style="60" customWidth="1"/>
    <col min="23" max="24" width="13.140625" style="60" bestFit="1" customWidth="1"/>
    <col min="25" max="25" width="11.5703125" style="60" bestFit="1" customWidth="1"/>
    <col min="26" max="16384" width="11.42578125" style="60"/>
  </cols>
  <sheetData>
    <row r="2" spans="2:28">
      <c r="B2" s="58" t="s">
        <v>178</v>
      </c>
      <c r="F2" s="58" t="s">
        <v>1</v>
      </c>
    </row>
    <row r="3" spans="2:28">
      <c r="B3" s="58"/>
      <c r="F3" s="58"/>
    </row>
    <row r="4" spans="2:28">
      <c r="B4" s="58"/>
      <c r="C4" s="72" t="s">
        <v>340</v>
      </c>
      <c r="D4" s="60">
        <f>'Schnittgrößen (g,T)'!$C$5/('Eingabe - Input'!D51/10*'Schnittgrößen (g,T)'!$C$4*(2*100*'Eingabe - Input'!$M$59)^2)</f>
        <v>3.1552914266165979E-2</v>
      </c>
      <c r="F4" s="58"/>
    </row>
    <row r="5" spans="2:28">
      <c r="B5" s="58"/>
      <c r="C5" s="72" t="s">
        <v>105</v>
      </c>
      <c r="D5" s="60">
        <f>SQRT((1+'Schnittgrößen (g,T)'!$C$11)/('Schnittgrößen (g,T)'!$C$11*$D$4))</f>
        <v>191.83829028306158</v>
      </c>
      <c r="F5" s="58"/>
    </row>
    <row r="6" spans="2:28">
      <c r="B6" s="58"/>
      <c r="F6" s="58"/>
    </row>
    <row r="7" spans="2:28">
      <c r="B7" s="58"/>
      <c r="D7" s="60">
        <f>$D$5/2</f>
        <v>95.919145141530791</v>
      </c>
      <c r="F7" s="58"/>
    </row>
    <row r="8" spans="2:28">
      <c r="B8" s="58"/>
      <c r="F8" s="58"/>
    </row>
    <row r="9" spans="2:28" ht="13.5" thickBot="1">
      <c r="B9" s="58"/>
      <c r="F9" s="58"/>
      <c r="Z9" s="63"/>
      <c r="AA9" s="63"/>
    </row>
    <row r="10" spans="2:28">
      <c r="B10" s="58"/>
      <c r="D10" s="60">
        <f>1/(($D$5)^2)</f>
        <v>2.7172488246135555E-5</v>
      </c>
      <c r="F10" s="75"/>
      <c r="Y10" s="65"/>
      <c r="Z10" s="100" t="s">
        <v>255</v>
      </c>
      <c r="AA10" s="101"/>
      <c r="AB10" s="62"/>
    </row>
    <row r="11" spans="2:28" ht="15.75">
      <c r="B11" s="58"/>
      <c r="F11" s="58"/>
      <c r="M11" s="76" t="s">
        <v>184</v>
      </c>
      <c r="N11" s="77" t="s">
        <v>184</v>
      </c>
      <c r="O11" s="76" t="s">
        <v>183</v>
      </c>
      <c r="P11" s="76" t="s">
        <v>185</v>
      </c>
      <c r="Q11" s="78"/>
      <c r="R11" s="78" t="s">
        <v>188</v>
      </c>
      <c r="S11" s="78" t="s">
        <v>187</v>
      </c>
      <c r="T11" s="78"/>
      <c r="U11" s="78" t="s">
        <v>186</v>
      </c>
      <c r="V11" s="78"/>
      <c r="W11" s="79" t="s">
        <v>189</v>
      </c>
      <c r="X11" s="78" t="s">
        <v>190</v>
      </c>
      <c r="Y11" s="98" t="s">
        <v>184</v>
      </c>
      <c r="Z11" s="102" t="s">
        <v>190</v>
      </c>
      <c r="AA11" s="108" t="s">
        <v>184</v>
      </c>
      <c r="AB11" s="62"/>
    </row>
    <row r="12" spans="2:28" ht="12.75" customHeight="1">
      <c r="B12" s="58"/>
      <c r="F12" s="58"/>
      <c r="L12" s="522" t="s">
        <v>197</v>
      </c>
      <c r="M12" s="111">
        <f>('Eingabe - Input'!$M$58*'Eingabe - Input'!$M$59)*N12</f>
        <v>0</v>
      </c>
      <c r="N12" s="73">
        <v>0</v>
      </c>
      <c r="O12" s="60">
        <f>(COSH($D$7)-COSH(($D$5*(1-2*N12))/2))/COSH($D$7)</f>
        <v>0</v>
      </c>
      <c r="P12" s="60">
        <f>(SINH($D$7)*SINH($D$5*N12))/SINH($D$5)</f>
        <v>0</v>
      </c>
      <c r="Q12" s="81"/>
      <c r="R12" s="60">
        <f>1/24*N12*(1-2*N12^2+N12^3)+(1/2*$D$13*N12*(1-N12))-($D$19*O12)</f>
        <v>0</v>
      </c>
      <c r="S12" s="70">
        <f>1/12*N12*(0.75-N12^2)+(1/2*$D$13*N12)-($D$16*P12)</f>
        <v>0</v>
      </c>
      <c r="U12" s="81">
        <f>1/2*N12*(1-N12)-($D$10*O12)</f>
        <v>0</v>
      </c>
      <c r="W12" s="60">
        <f>(((('Eingabe - Input'!$M$57)/100)*(2*('Eingabe - Input'!$M$59)*100)^4)/('Schnittgrößen (g,T)'!$C$8))*(R12-$I$46*S12)</f>
        <v>0</v>
      </c>
      <c r="X12" s="60">
        <f>('Schnittgrößen (g,T)'!$C$47*100)*(2*100*'Eingabe - Input'!$M$59)^2/(1+'Schnittgrößen (g,T)'!$C$11)*(U12-$I$49*S12)</f>
        <v>0</v>
      </c>
      <c r="Y12" s="97">
        <f>N12</f>
        <v>0</v>
      </c>
      <c r="Z12" s="103">
        <f>('Schnittgrößen (g,T)'!$C$48*100)*(2*100*'Eingabe - Input'!$M$59)^2/(1+'Schnittgrößen (g,T)'!$C$11)*(U12-$I$49*S12)</f>
        <v>0</v>
      </c>
      <c r="AA12" s="109">
        <f>N12</f>
        <v>0</v>
      </c>
      <c r="AB12" s="62"/>
    </row>
    <row r="13" spans="2:28">
      <c r="B13" s="58"/>
      <c r="D13" s="60">
        <f>1/('Schnittgrößen (g,T)'!$C$11*($D$5)^2)</f>
        <v>3.1525741777919843E-2</v>
      </c>
      <c r="F13" s="58"/>
      <c r="L13" s="523"/>
      <c r="M13" s="111">
        <f>('Eingabe - Input'!$M$58*'Eingabe - Input'!$M$59)*N13</f>
        <v>0.1</v>
      </c>
      <c r="N13" s="82">
        <v>2.5000000000000001E-2</v>
      </c>
      <c r="O13" s="60">
        <f t="shared" ref="O13:O32" si="0">(COSH($D$7)-COSH(($D$5*(1-2*N13))/2))/COSH($D$7)</f>
        <v>0.99173691485606774</v>
      </c>
      <c r="P13" s="60">
        <f t="shared" ref="P13:P32" si="1">(SINH($D$7)*SINH($D$5*N13))/SINH($D$5)</f>
        <v>1.3324247115898327E-40</v>
      </c>
      <c r="R13" s="60">
        <f t="shared" ref="R13:R32" si="2">1/24*N13*(1-2*N13^2+N13^3)+(1/2*$D$13*N13*(1-N13))-($D$19*O13)</f>
        <v>1.4237512828756463E-3</v>
      </c>
      <c r="S13" s="70">
        <f t="shared" ref="S13:S32" si="3">1/12*N13*(0.75-N13^2)+(1/2*$D$13*N13)-($D$16*P13)</f>
        <v>1.9552696888906649E-3</v>
      </c>
      <c r="U13" s="81">
        <f t="shared" ref="U13:U32" si="4">1/2*N13*(1-N13)-($D$10*O13)</f>
        <v>1.2160552040337815E-2</v>
      </c>
      <c r="W13" s="60">
        <f>(((('Eingabe - Input'!$M$57)/100)*(2*('Eingabe - Input'!$M$59)*100)^4)/('Schnittgrößen (g,T)'!$C$8))*(R13-$I$46*S13)</f>
        <v>2.1243844005774094E-2</v>
      </c>
      <c r="X13" s="60">
        <f>('Schnittgrößen (g,T)'!$C$47*100)*(2*100*'Eingabe - Input'!$M$59)^2/(1+'Schnittgrößen (g,T)'!$C$11)*(U13-$I$49*S13)</f>
        <v>-3.515235540164352E-2</v>
      </c>
      <c r="Y13" s="97">
        <f t="shared" ref="Y13:Y31" si="5">N13</f>
        <v>2.5000000000000001E-2</v>
      </c>
      <c r="Z13" s="103">
        <f>('Schnittgrößen (g,T)'!$C$48*100)*(2*100*'Eingabe - Input'!$M$59)^2/(1+'Schnittgrößen (g,T)'!$C$11)*(U13-$I$49*S13)</f>
        <v>-4.8334488677259854E-2</v>
      </c>
      <c r="AA13" s="109">
        <f t="shared" ref="AA13:AA32" si="6">N13</f>
        <v>2.5000000000000001E-2</v>
      </c>
      <c r="AB13" s="62"/>
    </row>
    <row r="14" spans="2:28">
      <c r="B14" s="58"/>
      <c r="F14" s="58"/>
      <c r="L14" s="523"/>
      <c r="M14" s="111">
        <f>('Eingabe - Input'!$M$58*'Eingabe - Input'!$M$59)*N14</f>
        <v>0.2</v>
      </c>
      <c r="N14" s="82">
        <v>0.05</v>
      </c>
      <c r="O14" s="60">
        <f t="shared" si="0"/>
        <v>0.99993172142390419</v>
      </c>
      <c r="P14" s="60">
        <f t="shared" si="1"/>
        <v>1.6126128007169426E-38</v>
      </c>
      <c r="R14" s="60">
        <f t="shared" si="2"/>
        <v>2.8210568762006894E-3</v>
      </c>
      <c r="S14" s="70">
        <f t="shared" si="3"/>
        <v>3.9027268777813294E-3</v>
      </c>
      <c r="U14" s="81">
        <f t="shared" si="4"/>
        <v>2.372282936705267E-2</v>
      </c>
      <c r="W14" s="60">
        <f>(((('Eingabe - Input'!$M$57)/100)*(2*('Eingabe - Input'!$M$59)*100)^4)/('Schnittgrößen (g,T)'!$C$8))*(R14-$I$46*S14)</f>
        <v>4.0742172652422658E-2</v>
      </c>
      <c r="X14" s="60">
        <f>('Schnittgrößen (g,T)'!$C$47*100)*(2*100*'Eingabe - Input'!$M$59)^2/(1+'Schnittgrößen (g,T)'!$C$11)*(U14-$I$49*S14)</f>
        <v>-6.483586767541806E-2</v>
      </c>
      <c r="Y14" s="97">
        <f t="shared" si="5"/>
        <v>0.05</v>
      </c>
      <c r="Z14" s="103">
        <f>('Schnittgrößen (g,T)'!$C$48*100)*(2*100*'Eingabe - Input'!$M$59)^2/(1+'Schnittgrößen (g,T)'!$C$11)*(U14-$I$49*S14)</f>
        <v>-8.9149318053699869E-2</v>
      </c>
      <c r="AA14" s="109">
        <f t="shared" si="6"/>
        <v>0.05</v>
      </c>
      <c r="AB14" s="62"/>
    </row>
    <row r="15" spans="2:28">
      <c r="B15" s="58"/>
      <c r="F15" s="58"/>
      <c r="L15" s="523"/>
      <c r="M15" s="111">
        <f>('Eingabe - Input'!$M$58*'Eingabe - Input'!$M$59)*N15</f>
        <v>0.3</v>
      </c>
      <c r="N15" s="82">
        <v>7.4999999999999997E-2</v>
      </c>
      <c r="O15" s="60">
        <f t="shared" si="0"/>
        <v>0.99999943580831219</v>
      </c>
      <c r="P15" s="60">
        <f t="shared" si="1"/>
        <v>1.9515868227723219E-36</v>
      </c>
      <c r="R15" s="60">
        <f t="shared" si="2"/>
        <v>4.1838546449319879E-3</v>
      </c>
      <c r="S15" s="70">
        <f t="shared" si="3"/>
        <v>5.8345590666719939E-3</v>
      </c>
      <c r="U15" s="81">
        <f t="shared" si="4"/>
        <v>3.466032752708436E-2</v>
      </c>
      <c r="W15" s="60">
        <f>(((('Eingabe - Input'!$M$57)/100)*(2*('Eingabe - Input'!$M$59)*100)^4)/('Schnittgrößen (g,T)'!$C$8))*(R15-$I$46*S15)</f>
        <v>5.8220224642549542E-2</v>
      </c>
      <c r="X15" s="60">
        <f>('Schnittgrößen (g,T)'!$C$47*100)*(2*100*'Eingabe - Input'!$M$59)^2/(1+'Schnittgrößen (g,T)'!$C$11)*(U15-$I$49*S15)</f>
        <v>-8.9124157091825862E-2</v>
      </c>
      <c r="Y15" s="97">
        <f t="shared" si="5"/>
        <v>7.4999999999999997E-2</v>
      </c>
      <c r="Z15" s="103">
        <f>('Schnittgrößen (g,T)'!$C$48*100)*(2*100*'Eingabe - Input'!$M$59)^2/(1+'Schnittgrößen (g,T)'!$C$11)*(U15-$I$49*S15)</f>
        <v>-0.12254571600126059</v>
      </c>
      <c r="AA15" s="109">
        <f t="shared" si="6"/>
        <v>7.4999999999999997E-2</v>
      </c>
      <c r="AB15" s="62"/>
    </row>
    <row r="16" spans="2:28">
      <c r="B16" s="58"/>
      <c r="D16" s="60">
        <f>1/('Schnittgrößen (g,T)'!$C$11*($D$5)^3)</f>
        <v>1.6433498094360057E-4</v>
      </c>
      <c r="F16" s="58"/>
      <c r="L16" s="523"/>
      <c r="M16" s="111">
        <f>('Eingabe - Input'!$M$58*'Eingabe - Input'!$M$59)*N16</f>
        <v>0.4</v>
      </c>
      <c r="N16" s="82">
        <v>0.1</v>
      </c>
      <c r="O16" s="60">
        <f t="shared" si="0"/>
        <v>0.99999999533803607</v>
      </c>
      <c r="P16" s="60">
        <f t="shared" si="1"/>
        <v>2.3618137642041195E-34</v>
      </c>
      <c r="R16" s="60">
        <f t="shared" si="2"/>
        <v>5.5053017471624758E-3</v>
      </c>
      <c r="S16" s="70">
        <f t="shared" si="3"/>
        <v>7.7429537555626588E-3</v>
      </c>
      <c r="U16" s="81">
        <f t="shared" si="4"/>
        <v>4.4972827511880545E-2</v>
      </c>
      <c r="W16" s="60">
        <f>(((('Eingabe - Input'!$M$57)/100)*(2*('Eingabe - Input'!$M$59)*100)^4)/('Schnittgrößen (g,T)'!$C$8))*(R16-$I$46*S16)</f>
        <v>7.3500786752586894E-2</v>
      </c>
      <c r="X16" s="60">
        <f>('Schnittgrößen (g,T)'!$C$47*100)*(2*100*'Eingabe - Input'!$M$59)^2/(1+'Schnittgrößen (g,T)'!$C$11)*(U16-$I$49*S16)</f>
        <v>-0.10834564226284185</v>
      </c>
      <c r="Y16" s="97">
        <f t="shared" si="5"/>
        <v>0.1</v>
      </c>
      <c r="Z16" s="103">
        <f>('Schnittgrößen (g,T)'!$C$48*100)*(2*100*'Eingabe - Input'!$M$59)^2/(1+'Schnittgrößen (g,T)'!$C$11)*(U16-$I$49*S16)</f>
        <v>-0.14897525811140758</v>
      </c>
      <c r="AA16" s="109">
        <f t="shared" si="6"/>
        <v>0.1</v>
      </c>
      <c r="AB16" s="62"/>
    </row>
    <row r="17" spans="2:28">
      <c r="B17" s="58"/>
      <c r="F17" s="58"/>
      <c r="L17" s="523"/>
      <c r="M17" s="111">
        <f>('Eingabe - Input'!$M$58*'Eingabe - Input'!$M$59)*N17</f>
        <v>0.5</v>
      </c>
      <c r="N17" s="82">
        <v>0.125</v>
      </c>
      <c r="O17" s="60">
        <f t="shared" si="0"/>
        <v>0.99999999996147781</v>
      </c>
      <c r="P17" s="60">
        <f t="shared" si="1"/>
        <v>2.8582711215779687E-32</v>
      </c>
      <c r="R17" s="60">
        <f t="shared" si="2"/>
        <v>6.7789528133404466E-3</v>
      </c>
      <c r="S17" s="70">
        <f t="shared" si="3"/>
        <v>9.6200984444533236E-3</v>
      </c>
      <c r="U17" s="81">
        <f t="shared" si="4"/>
        <v>5.4660327511754911E-2</v>
      </c>
      <c r="W17" s="60">
        <f>(((('Eingabe - Input'!$M$57)/100)*(2*('Eingabe - Input'!$M$59)*100)^4)/('Schnittgrößen (g,T)'!$C$8))*(R17-$I$46*S17)</f>
        <v>8.6438445054409743E-2</v>
      </c>
      <c r="X17" s="60">
        <f>('Schnittgrößen (g,T)'!$C$47*100)*(2*100*'Eingabe - Input'!$M$59)^2/(1+'Schnittgrößen (g,T)'!$C$11)*(U17-$I$49*S17)</f>
        <v>-0.12283084722083125</v>
      </c>
      <c r="Y17" s="97">
        <f t="shared" si="5"/>
        <v>0.125</v>
      </c>
      <c r="Z17" s="103">
        <f>('Schnittgrößen (g,T)'!$C$48*100)*(2*100*'Eingabe - Input'!$M$59)^2/(1+'Schnittgrößen (g,T)'!$C$11)*(U17-$I$49*S17)</f>
        <v>-0.16889241492864301</v>
      </c>
      <c r="AA17" s="109">
        <f t="shared" si="6"/>
        <v>0.125</v>
      </c>
      <c r="AB17" s="62"/>
    </row>
    <row r="18" spans="2:28">
      <c r="B18" s="58"/>
      <c r="F18" s="58"/>
      <c r="L18" s="523"/>
      <c r="M18" s="111">
        <f>('Eingabe - Input'!$M$58*'Eingabe - Input'!$M$59)*N18</f>
        <v>0.6</v>
      </c>
      <c r="N18" s="73">
        <v>0.15</v>
      </c>
      <c r="O18" s="60">
        <f t="shared" si="0"/>
        <v>0.9999999999996817</v>
      </c>
      <c r="P18" s="60">
        <f t="shared" si="1"/>
        <v>3.4590846781687702E-30</v>
      </c>
      <c r="R18" s="60">
        <f t="shared" si="2"/>
        <v>7.9987531554944775E-3</v>
      </c>
      <c r="S18" s="70">
        <f t="shared" si="3"/>
        <v>1.1458180633343987E-2</v>
      </c>
      <c r="U18" s="81">
        <f t="shared" si="4"/>
        <v>6.3722827511753871E-2</v>
      </c>
      <c r="W18" s="60">
        <f>(((('Eingabe - Input'!$M$57)/100)*(2*('Eingabe - Input'!$M$59)*100)^4)/('Schnittgrößen (g,T)'!$C$8))*(R18-$I$46*S18)</f>
        <v>9.6919041627582497E-2</v>
      </c>
      <c r="X18" s="60">
        <f>('Schnittgrößen (g,T)'!$C$47*100)*(2*100*'Eingabe - Input'!$M$59)^2/(1+'Schnittgrößen (g,T)'!$C$11)*(U18-$I$49*S18)</f>
        <v>-0.13291031339542717</v>
      </c>
      <c r="Y18" s="97">
        <f t="shared" si="5"/>
        <v>0.15</v>
      </c>
      <c r="Z18" s="103">
        <f>('Schnittgrößen (g,T)'!$C$48*100)*(2*100*'Eingabe - Input'!$M$59)^2/(1+'Schnittgrößen (g,T)'!$C$11)*(U18-$I$49*S18)</f>
        <v>-0.18275168091871238</v>
      </c>
      <c r="AA18" s="109">
        <f t="shared" si="6"/>
        <v>0.15</v>
      </c>
      <c r="AB18" s="62"/>
    </row>
    <row r="19" spans="2:28">
      <c r="B19" s="58"/>
      <c r="D19" s="60">
        <f>1/('Schnittgrößen (g,T)'!$C$11*($D$5)^4)</f>
        <v>8.5663284791123161E-7</v>
      </c>
      <c r="F19" s="58"/>
      <c r="L19" s="523"/>
      <c r="M19" s="111">
        <f>('Eingabe - Input'!$M$58*'Eingabe - Input'!$M$59)*N19</f>
        <v>0.7</v>
      </c>
      <c r="N19" s="82">
        <v>0.17499999999999999</v>
      </c>
      <c r="O19" s="60">
        <f t="shared" si="0"/>
        <v>0.99999999999999745</v>
      </c>
      <c r="P19" s="60">
        <f t="shared" si="1"/>
        <v>4.1861902883923444E-28</v>
      </c>
      <c r="R19" s="60">
        <f t="shared" si="2"/>
        <v>9.1590387111206758E-3</v>
      </c>
      <c r="S19" s="70">
        <f t="shared" si="3"/>
        <v>1.3249387822234652E-2</v>
      </c>
      <c r="U19" s="81">
        <f t="shared" si="4"/>
        <v>7.2160327511753858E-2</v>
      </c>
      <c r="W19" s="60">
        <f>(((('Eingabe - Input'!$M$57)/100)*(2*('Eingabe - Input'!$M$59)*100)^4)/('Schnittgrößen (g,T)'!$C$8))*(R19-$I$46*S19)</f>
        <v>0.10485967007012591</v>
      </c>
      <c r="X19" s="60">
        <f>('Schnittgrößen (g,T)'!$C$47*100)*(2*100*'Eingabe - Input'!$M$59)^2/(1+'Schnittgrößen (g,T)'!$C$11)*(U19-$I$49*S19)</f>
        <v>-0.13891458236001772</v>
      </c>
      <c r="Y19" s="97">
        <f t="shared" si="5"/>
        <v>0.17499999999999999</v>
      </c>
      <c r="Z19" s="103">
        <f>('Schnittgrößen (g,T)'!$C$48*100)*(2*100*'Eingabe - Input'!$M$59)^2/(1+'Schnittgrößen (g,T)'!$C$11)*(U19-$I$49*S19)</f>
        <v>-0.1910075507450244</v>
      </c>
      <c r="AA19" s="109">
        <f t="shared" si="6"/>
        <v>0.17499999999999999</v>
      </c>
      <c r="AB19" s="62"/>
    </row>
    <row r="20" spans="2:28">
      <c r="B20" s="58"/>
      <c r="F20" s="58"/>
      <c r="L20" s="523"/>
      <c r="M20" s="111">
        <f>('Eingabe - Input'!$M$58*'Eingabe - Input'!$M$59)*N20</f>
        <v>0.8</v>
      </c>
      <c r="N20" s="82">
        <v>0.2</v>
      </c>
      <c r="O20" s="60">
        <f t="shared" si="0"/>
        <v>1</v>
      </c>
      <c r="P20" s="60">
        <f t="shared" si="1"/>
        <v>5.0661347613807757E-26</v>
      </c>
      <c r="R20" s="60">
        <f t="shared" si="2"/>
        <v>1.0254536042719009E-2</v>
      </c>
      <c r="S20" s="70">
        <f t="shared" si="3"/>
        <v>1.4985907511125317E-2</v>
      </c>
      <c r="U20" s="81">
        <f t="shared" si="4"/>
        <v>7.9972827511753886E-2</v>
      </c>
      <c r="W20" s="60">
        <f>(((('Eingabe - Input'!$M$57)/100)*(2*('Eingabe - Input'!$M$59)*100)^4)/('Schnittgrößen (g,T)'!$C$8))*(R20-$I$46*S20)</f>
        <v>0.11020867546142184</v>
      </c>
      <c r="X20" s="60">
        <f>('Schnittgrößen (g,T)'!$C$47*100)*(2*100*'Eingabe - Input'!$M$59)^2/(1+'Schnittgrößen (g,T)'!$C$11)*(U20-$I$49*S20)</f>
        <v>-0.14117419568917935</v>
      </c>
      <c r="Y20" s="97">
        <f t="shared" si="5"/>
        <v>0.2</v>
      </c>
      <c r="Z20" s="103">
        <f>('Schnittgrößen (g,T)'!$C$48*100)*(2*100*'Eingabe - Input'!$M$59)^2/(1+'Schnittgrößen (g,T)'!$C$11)*(U20-$I$49*S20)</f>
        <v>-0.19411451907262164</v>
      </c>
      <c r="AA20" s="109">
        <f t="shared" si="6"/>
        <v>0.2</v>
      </c>
      <c r="AB20" s="62"/>
    </row>
    <row r="21" spans="2:28">
      <c r="B21" s="58"/>
      <c r="F21" s="58"/>
      <c r="L21" s="523"/>
      <c r="M21" s="111">
        <f>('Eingabe - Input'!$M$58*'Eingabe - Input'!$M$59)*N21</f>
        <v>0.9</v>
      </c>
      <c r="N21" s="82">
        <v>0.22500000000000001</v>
      </c>
      <c r="O21" s="60">
        <f t="shared" si="0"/>
        <v>1</v>
      </c>
      <c r="P21" s="60">
        <f t="shared" si="1"/>
        <v>6.1310450916762022E-24</v>
      </c>
      <c r="R21" s="60">
        <f t="shared" si="2"/>
        <v>1.1280362337789474E-2</v>
      </c>
      <c r="S21" s="70">
        <f t="shared" si="3"/>
        <v>1.6659927200015981E-2</v>
      </c>
      <c r="U21" s="81">
        <f t="shared" si="4"/>
        <v>8.7160327511753871E-2</v>
      </c>
      <c r="W21" s="60">
        <f>(((('Eingabe - Input'!$M$57)/100)*(2*('Eingabe - Input'!$M$59)*100)^4)/('Schnittgrößen (g,T)'!$C$8))*(R21-$I$46*S21)</f>
        <v>0.11294565436190716</v>
      </c>
      <c r="X21" s="60">
        <f>('Schnittgrößen (g,T)'!$C$47*100)*(2*100*'Eingabe - Input'!$M$59)^2/(1+'Schnittgrößen (g,T)'!$C$11)*(U21-$I$49*S21)</f>
        <v>-0.14001969495749728</v>
      </c>
      <c r="Y21" s="97">
        <f t="shared" si="5"/>
        <v>0.22500000000000001</v>
      </c>
      <c r="Z21" s="103">
        <f>('Schnittgrößen (g,T)'!$C$48*100)*(2*100*'Eingabe - Input'!$M$59)^2/(1+'Schnittgrößen (g,T)'!$C$11)*(U21-$I$49*S21)</f>
        <v>-0.19252708056655879</v>
      </c>
      <c r="AA21" s="109">
        <f t="shared" si="6"/>
        <v>0.22500000000000001</v>
      </c>
      <c r="AB21" s="62"/>
    </row>
    <row r="22" spans="2:28">
      <c r="B22" s="58"/>
      <c r="F22" s="58"/>
      <c r="L22" s="523"/>
      <c r="M22" s="111">
        <f>('Eingabe - Input'!$M$58*'Eingabe - Input'!$M$59)*N22</f>
        <v>1</v>
      </c>
      <c r="N22" s="82">
        <v>0.25</v>
      </c>
      <c r="O22" s="60">
        <f t="shared" si="0"/>
        <v>1</v>
      </c>
      <c r="P22" s="60">
        <f t="shared" si="1"/>
        <v>7.4198014239008844E-22</v>
      </c>
      <c r="R22" s="60">
        <f t="shared" si="2"/>
        <v>1.2232025408832075E-2</v>
      </c>
      <c r="S22" s="70">
        <f t="shared" si="3"/>
        <v>1.8263634388906647E-2</v>
      </c>
      <c r="U22" s="81">
        <f t="shared" si="4"/>
        <v>9.372282751175387E-2</v>
      </c>
      <c r="W22" s="60">
        <f>(((('Eingabe - Input'!$M$57)/100)*(2*('Eingabe - Input'!$M$59)*100)^4)/('Schnittgrößen (g,T)'!$C$8))*(R22-$I$46*S22)</f>
        <v>0.11308145481307084</v>
      </c>
      <c r="X22" s="60">
        <f>('Schnittgrößen (g,T)'!$C$47*100)*(2*100*'Eingabe - Input'!$M$59)^2/(1+'Schnittgrößen (g,T)'!$C$11)*(U22-$I$49*S22)</f>
        <v>-0.13578162173955777</v>
      </c>
      <c r="Y22" s="97">
        <f t="shared" si="5"/>
        <v>0.25</v>
      </c>
      <c r="Z22" s="103">
        <f>('Schnittgrößen (g,T)'!$C$48*100)*(2*100*'Eingabe - Input'!$M$59)^2/(1+'Schnittgrößen (g,T)'!$C$11)*(U22-$I$49*S22)</f>
        <v>-0.18669972989189199</v>
      </c>
      <c r="AA22" s="109">
        <f t="shared" si="6"/>
        <v>0.25</v>
      </c>
      <c r="AB22" s="62"/>
    </row>
    <row r="23" spans="2:28">
      <c r="B23" s="58"/>
      <c r="F23" s="58"/>
      <c r="L23" s="523"/>
      <c r="M23" s="112">
        <f>('Eingabe - Input'!$M$58*'Eingabe - Input'!$M$59)*N23</f>
        <v>1.1000000000000001</v>
      </c>
      <c r="N23" s="82">
        <v>0.27500000000000002</v>
      </c>
      <c r="O23" s="60">
        <f t="shared" si="0"/>
        <v>1</v>
      </c>
      <c r="P23" s="60">
        <f t="shared" si="1"/>
        <v>8.9794565766389767E-20</v>
      </c>
      <c r="R23" s="60">
        <f t="shared" si="2"/>
        <v>1.3105423693346807E-2</v>
      </c>
      <c r="S23" s="70">
        <f t="shared" si="3"/>
        <v>1.9789216577797312E-2</v>
      </c>
      <c r="U23" s="81">
        <f t="shared" si="4"/>
        <v>9.9660327511753868E-2</v>
      </c>
      <c r="W23" s="60">
        <f>(((('Eingabe - Input'!$M$57)/100)*(2*('Eingabe - Input'!$M$59)*100)^4)/('Schnittgrößen (g,T)'!$C$8))*(R23-$I$46*S23)</f>
        <v>0.11065817633745417</v>
      </c>
      <c r="X23" s="60">
        <f>('Schnittgrößen (g,T)'!$C$47*100)*(2*100*'Eingabe - Input'!$M$59)^2/(1+'Schnittgrößen (g,T)'!$C$11)*(U23-$I$49*S23)</f>
        <v>-0.12879051760994695</v>
      </c>
      <c r="Y23" s="97">
        <f t="shared" si="5"/>
        <v>0.27500000000000002</v>
      </c>
      <c r="Z23" s="103">
        <f>('Schnittgrößen (g,T)'!$C$48*100)*(2*100*'Eingabe - Input'!$M$59)^2/(1+'Schnittgrößen (g,T)'!$C$11)*(U23-$I$49*S23)</f>
        <v>-0.1770869617136771</v>
      </c>
      <c r="AA23" s="109">
        <f t="shared" si="6"/>
        <v>0.27500000000000002</v>
      </c>
      <c r="AB23" s="62"/>
    </row>
    <row r="24" spans="2:28">
      <c r="B24" s="58"/>
      <c r="D24" s="60">
        <f>(COSH($D$7)-1)/COSH($D$7)</f>
        <v>1</v>
      </c>
      <c r="F24" s="58"/>
      <c r="L24" s="523"/>
      <c r="M24" s="111">
        <f>('Eingabe - Input'!$M$58*'Eingabe - Input'!$M$59)*N24</f>
        <v>1.2</v>
      </c>
      <c r="N24" s="73">
        <v>0.3</v>
      </c>
      <c r="O24" s="60">
        <f t="shared" si="0"/>
        <v>1</v>
      </c>
      <c r="P24" s="60">
        <f t="shared" si="1"/>
        <v>1.086695395270472E-17</v>
      </c>
      <c r="R24" s="60">
        <f t="shared" si="2"/>
        <v>1.3896846253833672E-2</v>
      </c>
      <c r="S24" s="70">
        <f t="shared" si="3"/>
        <v>2.1228861266687979E-2</v>
      </c>
      <c r="U24" s="81">
        <f t="shared" si="4"/>
        <v>0.10497282751175387</v>
      </c>
      <c r="W24" s="60">
        <f>(((('Eingabe - Input'!$M$57)/100)*(2*('Eingabe - Input'!$M$59)*100)^4)/('Schnittgrößen (g,T)'!$C$8))*(R24-$I$46*S24)</f>
        <v>0.10574916993865047</v>
      </c>
      <c r="X24" s="60">
        <f>('Schnittgrößen (g,T)'!$C$47*100)*(2*100*'Eingabe - Input'!$M$59)^2/(1+'Schnittgrößen (g,T)'!$C$11)*(U24-$I$49*S24)</f>
        <v>-0.11937692414325049</v>
      </c>
      <c r="Y24" s="97">
        <f t="shared" si="5"/>
        <v>0.3</v>
      </c>
      <c r="Z24" s="103">
        <f>('Schnittgrößen (g,T)'!$C$48*100)*(2*100*'Eingabe - Input'!$M$59)^2/(1+'Schnittgrößen (g,T)'!$C$11)*(U24-$I$49*S24)</f>
        <v>-0.16414327069696946</v>
      </c>
      <c r="AA24" s="109">
        <f t="shared" si="6"/>
        <v>0.3</v>
      </c>
      <c r="AB24" s="62"/>
    </row>
    <row r="25" spans="2:28">
      <c r="B25" s="58"/>
      <c r="F25" s="58"/>
      <c r="L25" s="523"/>
      <c r="M25" s="111">
        <f>('Eingabe - Input'!$M$58*'Eingabe - Input'!$M$59)*N25</f>
        <v>1.3</v>
      </c>
      <c r="N25" s="82">
        <v>0.32500000000000001</v>
      </c>
      <c r="O25" s="60">
        <f t="shared" si="0"/>
        <v>1</v>
      </c>
      <c r="P25" s="60">
        <f t="shared" si="1"/>
        <v>1.3151206557135322E-15</v>
      </c>
      <c r="R25" s="60">
        <f t="shared" si="2"/>
        <v>1.4602972777792671E-2</v>
      </c>
      <c r="S25" s="70">
        <f t="shared" si="3"/>
        <v>2.2574755955578642E-2</v>
      </c>
      <c r="U25" s="81">
        <f t="shared" si="4"/>
        <v>0.10966032751175388</v>
      </c>
      <c r="W25" s="60">
        <f>(((('Eingabe - Input'!$M$57)/100)*(2*('Eingabe - Input'!$M$59)*100)^4)/('Schnittgrößen (g,T)'!$C$8))*(R25-$I$46*S25)</f>
        <v>9.8459038101306087E-2</v>
      </c>
      <c r="X25" s="60">
        <f>('Schnittgrößen (g,T)'!$C$47*100)*(2*100*'Eingabe - Input'!$M$59)^2/(1+'Schnittgrößen (g,T)'!$C$11)*(U25-$I$49*S25)</f>
        <v>-0.1078713829140549</v>
      </c>
      <c r="Y25" s="97">
        <f t="shared" si="5"/>
        <v>0.32500000000000001</v>
      </c>
      <c r="Z25" s="103">
        <f>('Schnittgrößen (g,T)'!$C$48*100)*(2*100*'Eingabe - Input'!$M$59)^2/(1+'Schnittgrößen (g,T)'!$C$11)*(U25-$I$49*S25)</f>
        <v>-0.14832315150682551</v>
      </c>
      <c r="AA25" s="109">
        <f t="shared" si="6"/>
        <v>0.32500000000000001</v>
      </c>
      <c r="AB25" s="62"/>
    </row>
    <row r="26" spans="2:28">
      <c r="B26" s="58"/>
      <c r="C26" s="84"/>
      <c r="F26" s="58"/>
      <c r="L26" s="523"/>
      <c r="M26" s="111">
        <f>('Eingabe - Input'!$M$58*'Eingabe - Input'!$M$59)*N26</f>
        <v>1.4</v>
      </c>
      <c r="N26" s="82">
        <v>0.35</v>
      </c>
      <c r="O26" s="60">
        <f t="shared" si="0"/>
        <v>1</v>
      </c>
      <c r="P26" s="60">
        <f t="shared" si="1"/>
        <v>1.5915613028376786E-13</v>
      </c>
      <c r="R26" s="60">
        <f t="shared" si="2"/>
        <v>1.5220873577723802E-2</v>
      </c>
      <c r="S26" s="70">
        <f t="shared" si="3"/>
        <v>2.3819088144469279E-2</v>
      </c>
      <c r="U26" s="81">
        <f t="shared" si="4"/>
        <v>0.11372282751175386</v>
      </c>
      <c r="W26" s="60">
        <f>(((('Eingabe - Input'!$M$57)/100)*(2*('Eingabe - Input'!$M$59)*100)^4)/('Schnittgrößen (g,T)'!$C$8))*(R26-$I$46*S26)</f>
        <v>8.892363479111999E-2</v>
      </c>
      <c r="X26" s="60">
        <f>('Schnittgrößen (g,T)'!$C$47*100)*(2*100*'Eingabe - Input'!$M$59)^2/(1+'Schnittgrößen (g,T)'!$C$11)*(U26-$I$49*S26)</f>
        <v>-9.460443549694654E-2</v>
      </c>
      <c r="Y26" s="97">
        <f t="shared" si="5"/>
        <v>0.35</v>
      </c>
      <c r="Z26" s="103">
        <f>('Schnittgrößen (g,T)'!$C$48*100)*(2*100*'Eingabe - Input'!$M$59)^2/(1+'Schnittgrößen (g,T)'!$C$11)*(U26-$I$49*S26)</f>
        <v>-0.13008109880830152</v>
      </c>
      <c r="AA26" s="109">
        <f t="shared" si="6"/>
        <v>0.35</v>
      </c>
      <c r="AB26" s="62"/>
    </row>
    <row r="27" spans="2:28">
      <c r="B27" s="58"/>
      <c r="F27" s="58"/>
      <c r="L27" s="523"/>
      <c r="M27" s="111">
        <f>('Eingabe - Input'!$M$58*'Eingabe - Input'!$M$59)*N27</f>
        <v>1.5</v>
      </c>
      <c r="N27" s="82">
        <v>0.375</v>
      </c>
      <c r="O27" s="60">
        <f t="shared" si="0"/>
        <v>1</v>
      </c>
      <c r="P27" s="60">
        <f t="shared" si="1"/>
        <v>1.9261102543599152E-11</v>
      </c>
      <c r="R27" s="60">
        <f t="shared" si="2"/>
        <v>1.5748009591127071E-2</v>
      </c>
      <c r="S27" s="70">
        <f t="shared" si="3"/>
        <v>2.4954045333356809E-2</v>
      </c>
      <c r="U27" s="81">
        <f t="shared" si="4"/>
        <v>0.11716032751175387</v>
      </c>
      <c r="W27" s="60">
        <f>(((('Eingabe - Input'!$M$57)/100)*(2*('Eingabe - Input'!$M$59)*100)^4)/('Schnittgrößen (g,T)'!$C$8))*(R27-$I$46*S27)</f>
        <v>7.7310065454988877E-2</v>
      </c>
      <c r="X27" s="60">
        <f>('Schnittgrößen (g,T)'!$C$47*100)*(2*100*'Eingabe - Input'!$M$59)^2/(1+'Schnittgrößen (g,T)'!$C$11)*(U27-$I$49*S27)</f>
        <v>-7.9906623466642374E-2</v>
      </c>
      <c r="Y27" s="97">
        <f t="shared" si="5"/>
        <v>0.375</v>
      </c>
      <c r="Z27" s="103">
        <f>('Schnittgrößen (g,T)'!$C$48*100)*(2*100*'Eingabe - Input'!$M$59)^2/(1+'Schnittgrößen (g,T)'!$C$11)*(U27-$I$49*S27)</f>
        <v>-0.10987160726663329</v>
      </c>
      <c r="AA27" s="109">
        <f t="shared" si="6"/>
        <v>0.375</v>
      </c>
      <c r="AB27" s="62"/>
    </row>
    <row r="28" spans="2:28">
      <c r="B28" s="58"/>
      <c r="F28" s="58"/>
      <c r="L28" s="523"/>
      <c r="M28" s="111">
        <f>('Eingabe - Input'!$M$58*'Eingabe - Input'!$M$59)*N28</f>
        <v>1.6</v>
      </c>
      <c r="N28" s="82">
        <v>0.4</v>
      </c>
      <c r="O28" s="60">
        <f t="shared" si="0"/>
        <v>1</v>
      </c>
      <c r="P28" s="60">
        <f t="shared" si="1"/>
        <v>2.3309819768399061E-9</v>
      </c>
      <c r="R28" s="60">
        <f t="shared" si="2"/>
        <v>1.6182232380502471E-2</v>
      </c>
      <c r="S28" s="70">
        <f t="shared" si="3"/>
        <v>2.5971815021867573E-2</v>
      </c>
      <c r="U28" s="81">
        <f t="shared" si="4"/>
        <v>0.11997282751175387</v>
      </c>
      <c r="W28" s="60">
        <f>(((('Eingabe - Input'!$M$57)/100)*(2*('Eingabe - Input'!$M$59)*100)^4)/('Schnittgrößen (g,T)'!$C$8))*(R28-$I$46*S28)</f>
        <v>6.3816687038422734E-2</v>
      </c>
      <c r="X28" s="60">
        <f>('Schnittgrößen (g,T)'!$C$47*100)*(2*100*'Eingabe - Input'!$M$59)^2/(1+'Schnittgrößen (g,T)'!$C$11)*(U28-$I$49*S28)</f>
        <v>-6.4108488413537043E-2</v>
      </c>
      <c r="Y28" s="97">
        <f t="shared" si="5"/>
        <v>0.4</v>
      </c>
      <c r="Z28" s="103">
        <f>('Schnittgrößen (g,T)'!$C$48*100)*(2*100*'Eingabe - Input'!$M$59)^2/(1+'Schnittgrößen (g,T)'!$C$11)*(U28-$I$49*S28)</f>
        <v>-8.814917156861346E-2</v>
      </c>
      <c r="AA28" s="109">
        <f t="shared" si="6"/>
        <v>0.4</v>
      </c>
      <c r="AB28" s="62"/>
    </row>
    <row r="29" spans="2:28">
      <c r="B29" s="58"/>
      <c r="D29" s="60">
        <f>(COSH($D$7)-COSH(($D$5*(1-2*$D$44))/2))/COSH($D$7)</f>
        <v>1</v>
      </c>
      <c r="F29" s="58"/>
      <c r="L29" s="523"/>
      <c r="M29" s="111">
        <f>('Eingabe - Input'!$M$58*'Eingabe - Input'!$M$59)*N29</f>
        <v>1.7</v>
      </c>
      <c r="N29" s="82">
        <v>0.42499999999999999</v>
      </c>
      <c r="O29" s="60">
        <f t="shared" si="0"/>
        <v>1</v>
      </c>
      <c r="P29" s="60">
        <f t="shared" si="1"/>
        <v>2.8209584389331724E-7</v>
      </c>
      <c r="R29" s="60">
        <f t="shared" si="2"/>
        <v>1.6521784133350002E-2</v>
      </c>
      <c r="S29" s="70">
        <f t="shared" si="3"/>
        <v>2.686458466478308E-2</v>
      </c>
      <c r="U29" s="81">
        <f t="shared" si="4"/>
        <v>0.12216032751175386</v>
      </c>
      <c r="W29" s="60">
        <f>(((('Eingabe - Input'!$M$57)/100)*(2*('Eingabe - Input'!$M$59)*100)^4)/('Schnittgrößen (g,T)'!$C$8))*(R29-$I$46*S29)</f>
        <v>4.8673110093213845E-2</v>
      </c>
      <c r="X29" s="60">
        <f>('Schnittgrößen (g,T)'!$C$47*100)*(2*100*'Eingabe - Input'!$M$59)^2/(1+'Schnittgrößen (g,T)'!$C$11)*(U29-$I$49*S29)</f>
        <v>-4.7540573825380364E-2</v>
      </c>
      <c r="Y29" s="97">
        <f t="shared" si="5"/>
        <v>0.42499999999999999</v>
      </c>
      <c r="Z29" s="103">
        <f>('Schnittgrößen (g,T)'!$C$48*100)*(2*100*'Eingabe - Input'!$M$59)^2/(1+'Schnittgrößen (g,T)'!$C$11)*(U29-$I$49*S29)</f>
        <v>-6.5368289009898009E-2</v>
      </c>
      <c r="AA29" s="109">
        <f t="shared" si="6"/>
        <v>0.42499999999999999</v>
      </c>
      <c r="AB29" s="62"/>
    </row>
    <row r="30" spans="2:28">
      <c r="B30" s="58"/>
      <c r="F30" s="58"/>
      <c r="L30" s="523"/>
      <c r="M30" s="111">
        <f>('Eingabe - Input'!$M$58*'Eingabe - Input'!$M$59)*N30</f>
        <v>1.8</v>
      </c>
      <c r="N30" s="73">
        <v>0.45</v>
      </c>
      <c r="O30" s="60">
        <f t="shared" si="0"/>
        <v>1</v>
      </c>
      <c r="P30" s="60">
        <f t="shared" si="1"/>
        <v>3.4139288047936102E-5</v>
      </c>
      <c r="R30" s="60">
        <f t="shared" si="2"/>
        <v>1.6765297662169668E-2</v>
      </c>
      <c r="S30" s="70">
        <f t="shared" si="3"/>
        <v>2.762453628975271E-2</v>
      </c>
      <c r="U30" s="81">
        <f t="shared" si="4"/>
        <v>0.12372282751175388</v>
      </c>
      <c r="W30" s="60">
        <f>(((('Eingabe - Input'!$M$57)/100)*(2*('Eingabe - Input'!$M$59)*100)^4)/('Schnittgrößen (g,T)'!$C$8))*(R30-$I$46*S30)</f>
        <v>3.214045384795676E-2</v>
      </c>
      <c r="X30" s="60">
        <f>('Schnittgrößen (g,T)'!$C$47*100)*(2*100*'Eingabe - Input'!$M$59)^2/(1+'Schnittgrößen (g,T)'!$C$11)*(U30-$I$49*S30)</f>
        <v>-3.0533652808200824E-2</v>
      </c>
      <c r="Y30" s="97">
        <f t="shared" si="5"/>
        <v>0.45</v>
      </c>
      <c r="Z30" s="103">
        <f>('Schnittgrößen (g,T)'!$C$48*100)*(2*100*'Eingabe - Input'!$M$59)^2/(1+'Schnittgrößen (g,T)'!$C$11)*(U30-$I$49*S30)</f>
        <v>-4.1983772611276143E-2</v>
      </c>
      <c r="AA30" s="109">
        <f t="shared" si="6"/>
        <v>0.45</v>
      </c>
      <c r="AB30" s="62"/>
    </row>
    <row r="31" spans="2:28">
      <c r="B31" s="58"/>
      <c r="F31" s="58"/>
      <c r="L31" s="523"/>
      <c r="M31" s="111">
        <f>('Eingabe - Input'!$M$58*'Eingabe - Input'!$M$59)*N31</f>
        <v>1.9</v>
      </c>
      <c r="N31" s="82">
        <v>0.47499999999999998</v>
      </c>
      <c r="O31" s="60">
        <f t="shared" si="0"/>
        <v>1</v>
      </c>
      <c r="P31" s="60">
        <f t="shared" si="1"/>
        <v>4.1315425719660754E-3</v>
      </c>
      <c r="R31" s="60">
        <f t="shared" si="2"/>
        <v>1.6911796404461471E-2</v>
      </c>
      <c r="S31" s="70">
        <f t="shared" si="3"/>
        <v>2.8243195131952802E-2</v>
      </c>
      <c r="U31" s="81">
        <f t="shared" si="4"/>
        <v>0.12466032751175386</v>
      </c>
      <c r="W31" s="60">
        <f>(((('Eingabe - Input'!$M$57)/100)*(2*('Eingabe - Input'!$M$59)*100)^4)/('Schnittgrößen (g,T)'!$C$8))*(R31-$I$46*S31)</f>
        <v>1.4542214886673633E-2</v>
      </c>
      <c r="X31" s="60">
        <f>('Schnittgrößen (g,T)'!$C$47*100)*(2*100*'Eingabe - Input'!$M$59)^2/(1+'Schnittgrößen (g,T)'!$C$11)*(U31-$I$49*S31)</f>
        <v>-1.344628691195696E-2</v>
      </c>
      <c r="Y31" s="97">
        <f t="shared" si="5"/>
        <v>0.47499999999999998</v>
      </c>
      <c r="Z31" s="103">
        <f>('Schnittgrößen (g,T)'!$C$48*100)*(2*100*'Eingabe - Input'!$M$59)^2/(1+'Schnittgrößen (g,T)'!$C$11)*(U31-$I$49*S31)</f>
        <v>-1.8488644503940822E-2</v>
      </c>
      <c r="AA31" s="109">
        <f t="shared" si="6"/>
        <v>0.47499999999999998</v>
      </c>
      <c r="AB31" s="62"/>
    </row>
    <row r="32" spans="2:28" ht="13.5" thickBot="1">
      <c r="L32" s="523"/>
      <c r="M32" s="112">
        <f>('Eingabe - Input'!$M$58*'Eingabe - Input'!$M$59)*N32</f>
        <v>2</v>
      </c>
      <c r="N32" s="85">
        <v>0.5</v>
      </c>
      <c r="O32" s="60">
        <f t="shared" si="0"/>
        <v>1</v>
      </c>
      <c r="P32" s="60">
        <f t="shared" si="1"/>
        <v>0.49999999999999994</v>
      </c>
      <c r="R32" s="60">
        <f t="shared" si="2"/>
        <v>1.6960694422725402E-2</v>
      </c>
      <c r="S32" s="70">
        <f t="shared" si="3"/>
        <v>2.8632601287341495E-2</v>
      </c>
      <c r="U32" s="81">
        <f t="shared" si="4"/>
        <v>0.12497282751175387</v>
      </c>
      <c r="W32" s="60">
        <f>(((('Eingabe - Input'!$M$57)/100)*(2*('Eingabe - Input'!$M$59)*100)^4)/('Schnittgrößen (g,T)'!$C$8))*(R32-$I$46*S32)</f>
        <v>-2.775689105428064E-16</v>
      </c>
      <c r="X32" s="60">
        <f>('Schnittgrößen (g,T)'!$C$47*100)*(2*100*'Eingabe - Input'!$M$59)^2/(1+'Schnittgrößen (g,T)'!$C$11)*(U32-$I$49*S32)</f>
        <v>-1.3452453945308568E-16</v>
      </c>
      <c r="Y32" s="97">
        <f>N32</f>
        <v>0.5</v>
      </c>
      <c r="Z32" s="104">
        <f>('Schnittgrößen (g,T)'!$C$48*100)*(2*100*'Eingabe - Input'!$M$59)^2/(1+'Schnittgrößen (g,T)'!$C$11)*(U32-$I$49*S32)</f>
        <v>-1.8497124174799285E-16</v>
      </c>
      <c r="AA32" s="110">
        <f t="shared" si="6"/>
        <v>0.5</v>
      </c>
      <c r="AB32" s="62"/>
    </row>
    <row r="33" spans="3:27">
      <c r="L33" s="71"/>
      <c r="M33" s="80"/>
      <c r="N33" s="82"/>
      <c r="Z33" s="64"/>
      <c r="AA33" s="64"/>
    </row>
    <row r="34" spans="3:27">
      <c r="D34" s="60">
        <f>((SINH($D$7))^2)/SINH($D$5)</f>
        <v>0.49999999999999994</v>
      </c>
      <c r="F34" s="60">
        <v>0.5</v>
      </c>
      <c r="L34" s="71"/>
      <c r="M34" s="80"/>
      <c r="N34" s="82"/>
    </row>
    <row r="35" spans="3:27" ht="13.5" thickBot="1">
      <c r="L35" s="71"/>
      <c r="M35" s="80"/>
      <c r="N35" s="82"/>
      <c r="Z35" s="63"/>
    </row>
    <row r="36" spans="3:27">
      <c r="L36" s="71"/>
      <c r="M36" s="80"/>
      <c r="N36" s="73"/>
      <c r="V36" s="61" t="s">
        <v>191</v>
      </c>
      <c r="W36" s="60">
        <f>MAX($W$12:$W$32)</f>
        <v>0.11308145481307084</v>
      </c>
      <c r="X36" s="60">
        <f>MAX($X$12:$X$32)</f>
        <v>0</v>
      </c>
      <c r="Y36" s="65"/>
      <c r="Z36" s="105">
        <f>MAX($Z$12:$Z$32)</f>
        <v>0</v>
      </c>
      <c r="AA36" s="62"/>
    </row>
    <row r="37" spans="3:27">
      <c r="F37" s="60">
        <v>0</v>
      </c>
      <c r="L37" s="71"/>
      <c r="M37" s="80"/>
      <c r="N37" s="82"/>
      <c r="V37" s="61" t="s">
        <v>215</v>
      </c>
      <c r="W37" s="60">
        <f>MIN($W$12:$W$32)</f>
        <v>-2.775689105428064E-16</v>
      </c>
      <c r="X37" s="60">
        <f>MIN($X$12:$X$32)</f>
        <v>-0.14117419568917935</v>
      </c>
      <c r="Y37" s="65"/>
      <c r="Z37" s="106">
        <f>MIN($Z$12:$Z$32)</f>
        <v>-0.19411451907262164</v>
      </c>
      <c r="AA37" s="62"/>
    </row>
    <row r="38" spans="3:27" ht="14.25">
      <c r="D38" s="60">
        <f>(SINH($D$7)*SINH($D$5*$D$44))/SINH($D$5)</f>
        <v>7.4198014239008844E-22</v>
      </c>
      <c r="L38" s="71"/>
      <c r="M38" s="80"/>
      <c r="N38" s="82"/>
      <c r="V38" s="61" t="s">
        <v>192</v>
      </c>
      <c r="W38" s="60">
        <f>VLOOKUP(MAX(W12:W32),W12:Y32,3,FALSE)</f>
        <v>0.25</v>
      </c>
      <c r="X38" s="66">
        <f>VLOOKUP(MAX(X12:X32),X12:Y32,2,FALSE)</f>
        <v>0</v>
      </c>
      <c r="Y38" s="65"/>
      <c r="Z38" s="106">
        <f>VLOOKUP(MAX(Z12:Z32),Z12:AA32,2,FALSE)</f>
        <v>0</v>
      </c>
      <c r="AA38" s="62"/>
    </row>
    <row r="39" spans="3:27" ht="15" thickBot="1">
      <c r="L39" s="71"/>
      <c r="M39" s="80"/>
      <c r="N39" s="73"/>
      <c r="V39" s="61" t="s">
        <v>216</v>
      </c>
      <c r="W39" s="60">
        <f>VLOOKUP(MIN(W12:W32),W12:Y32,3,FALSE)</f>
        <v>0.5</v>
      </c>
      <c r="X39" s="60">
        <f>VLOOKUP(MIN(X12:X32),X12:Y32,2,FALSE)</f>
        <v>0.2</v>
      </c>
      <c r="Y39" s="65"/>
      <c r="Z39" s="107">
        <f>VLOOKUP(MIN(Z12:Z32),Z12:AA32,2,FALSE)</f>
        <v>0.2</v>
      </c>
      <c r="AA39" s="62"/>
    </row>
    <row r="40" spans="3:27">
      <c r="L40" s="71"/>
      <c r="M40" s="80"/>
      <c r="N40" s="82"/>
      <c r="Z40" s="64"/>
    </row>
    <row r="41" spans="3:27">
      <c r="L41" s="71"/>
      <c r="M41" s="80"/>
      <c r="N41" s="82"/>
    </row>
    <row r="42" spans="3:27">
      <c r="H42" s="86" t="s">
        <v>104</v>
      </c>
      <c r="I42" s="86" t="s">
        <v>101</v>
      </c>
      <c r="J42" s="86"/>
      <c r="K42" s="86"/>
      <c r="L42" s="71"/>
      <c r="M42" s="80"/>
      <c r="N42" s="82"/>
    </row>
    <row r="43" spans="3:27">
      <c r="L43" s="71"/>
      <c r="M43" s="80"/>
      <c r="N43" s="82"/>
    </row>
    <row r="44" spans="3:27">
      <c r="C44" s="87" t="s">
        <v>195</v>
      </c>
      <c r="D44" s="76">
        <v>0.25</v>
      </c>
      <c r="L44" s="71"/>
      <c r="M44" s="80"/>
      <c r="N44" s="82"/>
    </row>
    <row r="45" spans="3:27">
      <c r="C45" s="72"/>
      <c r="D45" s="88"/>
      <c r="L45" s="71"/>
      <c r="M45" s="80"/>
      <c r="N45" s="73"/>
    </row>
    <row r="46" spans="3:27" ht="12.75" customHeight="1">
      <c r="C46" s="72" t="s">
        <v>153</v>
      </c>
      <c r="D46" s="88">
        <f>I46</f>
        <v>0.59235604381582152</v>
      </c>
      <c r="I46" s="81">
        <f>(1/76.8+(1/8*$D$13)-($D$19*$D$24))/(1/48+0.25*$D$13-($D$16*$D$34))</f>
        <v>0.59235604381582152</v>
      </c>
      <c r="J46" s="81"/>
      <c r="K46" s="81"/>
      <c r="L46" s="71"/>
      <c r="M46" s="89"/>
      <c r="N46" s="82"/>
    </row>
    <row r="47" spans="3:27" ht="12.75" customHeight="1">
      <c r="C47" s="72" t="s">
        <v>154</v>
      </c>
      <c r="D47" s="88">
        <f>I47</f>
        <v>1.2232025408832075E-2</v>
      </c>
      <c r="I47" s="60">
        <f>1/24*$D$44*(1-2*$D$44^2+$D$44^3)+(1/2*$D$13*$D$44*(1-$D$44))-($D$19*$D$29)</f>
        <v>1.2232025408832075E-2</v>
      </c>
      <c r="L47" s="71"/>
      <c r="M47" s="80"/>
      <c r="N47" s="82"/>
    </row>
    <row r="48" spans="3:27" ht="12.75" customHeight="1">
      <c r="C48" s="72" t="s">
        <v>155</v>
      </c>
      <c r="D48" s="88">
        <f>I48</f>
        <v>1.8263634388906647E-2</v>
      </c>
      <c r="I48" s="70">
        <f>1/12*$D$44*(0.75-$D$44^2)+(1/2*$D$13*$D$44)-($D$16*$D$38)</f>
        <v>1.8263634388906647E-2</v>
      </c>
      <c r="J48" s="70"/>
      <c r="K48" s="70"/>
      <c r="L48" s="71"/>
      <c r="M48" s="80"/>
      <c r="N48" s="82"/>
    </row>
    <row r="49" spans="2:14" ht="12.75" customHeight="1">
      <c r="C49" s="72" t="s">
        <v>179</v>
      </c>
      <c r="D49" s="88">
        <f>I49</f>
        <v>4.3647039351260233</v>
      </c>
      <c r="I49" s="60">
        <f>(1/8-($D$10*$D$24))/(1/48+0.25*$D$13-($D$16*$D$34))</f>
        <v>4.3647039351260233</v>
      </c>
      <c r="L49" s="71"/>
      <c r="M49" s="80"/>
      <c r="N49" s="82"/>
    </row>
    <row r="50" spans="2:14" ht="12.75" customHeight="1">
      <c r="C50" s="72" t="s">
        <v>162</v>
      </c>
      <c r="D50" s="88">
        <f>I50</f>
        <v>9.372282751175387E-2</v>
      </c>
      <c r="I50" s="81">
        <f>1/2*$D$44*(1-$D$44)-($D$10*$D$29)</f>
        <v>9.372282751175387E-2</v>
      </c>
      <c r="J50" s="81"/>
      <c r="K50" s="81"/>
      <c r="L50" s="71"/>
      <c r="M50" s="80"/>
      <c r="N50" s="82"/>
    </row>
    <row r="51" spans="2:14">
      <c r="L51" s="71"/>
      <c r="M51" s="80"/>
      <c r="N51" s="73"/>
    </row>
    <row r="52" spans="2:14">
      <c r="B52" s="90" t="s">
        <v>181</v>
      </c>
      <c r="L52" s="71"/>
      <c r="M52" s="80"/>
      <c r="N52" s="82"/>
    </row>
    <row r="53" spans="2:14" ht="14.25">
      <c r="B53" s="60" t="s">
        <v>57</v>
      </c>
      <c r="C53" s="61" t="s">
        <v>194</v>
      </c>
      <c r="D53" s="91">
        <f>IF('Eingabe - Input'!$M$58=1,H53,IF('Eingabe - Input'!$M$58=2,I53,""))</f>
        <v>0.11308145481307084</v>
      </c>
      <c r="E53" s="60" t="s">
        <v>103</v>
      </c>
      <c r="F53" s="60" t="s">
        <v>180</v>
      </c>
      <c r="H53" s="92">
        <f>'Schnittgrößen (g,T)'!$C$32/100*((100*'Eingabe - Input'!$M$59)^4)/'Schnittgrößen (g,T)'!$C$8*((5/384)+((1/(8*'Schnittgrößen (g,T)'!$C$11*('Schnittgrößen (g,T)'!$C$13^2))*(1-(8*'Schnittgrößen (g,T)'!$C$14/('Schnittgrößen (g,T)'!$C$13^2))))))</f>
        <v>0.14385680806292458</v>
      </c>
      <c r="I53" s="60">
        <f>(((('Eingabe - Input'!$M$57)/100)*(2*('Eingabe - Input'!$M$59)*100)^4)/('Schnittgrößen (g,T)'!$C$8))*($I$47-$I$46*$I$48)</f>
        <v>0.11308145481307084</v>
      </c>
      <c r="N53" s="82"/>
    </row>
    <row r="54" spans="2:14" ht="15.75">
      <c r="C54" s="61" t="s">
        <v>193</v>
      </c>
      <c r="D54" s="91">
        <f>IF('Eingabe - Input'!$M$58=1,H54,IF('Eingabe - Input'!$M$58=2,I54,""))</f>
        <v>0.11308145481307084</v>
      </c>
      <c r="E54" s="60" t="s">
        <v>103</v>
      </c>
      <c r="H54" s="92">
        <f>H53</f>
        <v>0.14385680806292458</v>
      </c>
      <c r="I54" s="60">
        <f>IF(ABS(W36)&gt;ABS(W37),W36,W37)</f>
        <v>0.11308145481307084</v>
      </c>
      <c r="N54" s="82"/>
    </row>
    <row r="55" spans="2:14" ht="15.75">
      <c r="B55" s="93" t="s">
        <v>198</v>
      </c>
      <c r="C55" s="87" t="s">
        <v>196</v>
      </c>
      <c r="D55" s="94">
        <f>IF('Eingabe - Input'!$M$58=1,H55,IF('Eingabe - Input'!$M$58=2,I55,""))</f>
        <v>0.5</v>
      </c>
      <c r="E55" s="70" t="s">
        <v>108</v>
      </c>
      <c r="H55" s="95">
        <v>0.5</v>
      </c>
      <c r="I55" s="60">
        <f>IF(ABS(W36)&gt;ABS(W37),W38*2,W39*2)</f>
        <v>0.5</v>
      </c>
      <c r="N55" s="82"/>
    </row>
    <row r="56" spans="2:14">
      <c r="C56" s="87"/>
      <c r="D56" s="91"/>
      <c r="E56" s="70"/>
      <c r="H56" s="95"/>
      <c r="N56" s="82"/>
    </row>
    <row r="57" spans="2:14">
      <c r="B57" s="90" t="s">
        <v>182</v>
      </c>
      <c r="H57" s="95"/>
      <c r="N57" s="82"/>
    </row>
    <row r="58" spans="2:14" ht="14.25">
      <c r="B58" s="60" t="s">
        <v>57</v>
      </c>
      <c r="C58" s="61" t="s">
        <v>194</v>
      </c>
      <c r="D58" s="91">
        <f>IF('Eingabe - Input'!$M$58=1,H58,IF('Eingabe - Input'!$M$58=2,I58,""))</f>
        <v>-0.13578162173955777</v>
      </c>
      <c r="E58" s="60" t="s">
        <v>103</v>
      </c>
      <c r="F58" s="60" t="s">
        <v>180</v>
      </c>
      <c r="H58" s="92">
        <f>100*'Schnittgrößen (g,T)'!$C$47*((100*'Eingabe - Input'!$M$59)^2)/8*(1/(1+'Schnittgrößen (g,T)'!$C$11))*(1-(8*'Schnittgrößen (g,T)'!$C$14/('Schnittgrößen (g,T)'!$C$13^2)))</f>
        <v>-0.30265893596360555</v>
      </c>
      <c r="I58" s="60">
        <f>('Schnittgrößen (g,T)'!$C$47*100)*(2*100*'Eingabe - Input'!$M$59)^2/(1+'Schnittgrößen (g,T)'!$C$11)*($I$50-$I$49*$I$48)</f>
        <v>-0.13578162173955777</v>
      </c>
    </row>
    <row r="59" spans="2:14" ht="15.75">
      <c r="C59" s="61" t="s">
        <v>193</v>
      </c>
      <c r="D59" s="91">
        <f>IF('Eingabe - Input'!$M$58=1,H59,IF('Eingabe - Input'!$M$58=2,I59,""))</f>
        <v>-0.14117419568917935</v>
      </c>
      <c r="E59" s="60" t="s">
        <v>103</v>
      </c>
      <c r="H59" s="96">
        <f>H58</f>
        <v>-0.30265893596360555</v>
      </c>
      <c r="I59" s="60">
        <f>IF(ABS(X36)&gt;ABS(X37),X36,X37)</f>
        <v>-0.14117419568917935</v>
      </c>
    </row>
    <row r="60" spans="2:14" ht="15.75">
      <c r="B60" s="93" t="s">
        <v>198</v>
      </c>
      <c r="C60" s="87" t="s">
        <v>196</v>
      </c>
      <c r="D60" s="94">
        <f>IF('Eingabe - Input'!$M$58=1,H60,IF('Eingabe - Input'!$M$58=2,I60,""))</f>
        <v>0.4</v>
      </c>
      <c r="E60" s="70" t="s">
        <v>108</v>
      </c>
      <c r="H60" s="95">
        <v>0.5</v>
      </c>
      <c r="I60" s="60">
        <f>IF(ABS(X36)&gt;ABS(X37),X38*2,X39*2)</f>
        <v>0.4</v>
      </c>
    </row>
    <row r="64" spans="2:14">
      <c r="B64" s="90" t="s">
        <v>257</v>
      </c>
    </row>
    <row r="65" spans="2:8" ht="14.25">
      <c r="B65" s="60" t="s">
        <v>57</v>
      </c>
      <c r="C65" s="61" t="s">
        <v>194</v>
      </c>
      <c r="D65" s="91">
        <f>H65</f>
        <v>-0.41615603694995773</v>
      </c>
      <c r="E65" s="60" t="s">
        <v>103</v>
      </c>
      <c r="H65" s="92">
        <f>100*'Schnittgrößen (g,T)'!$C$48*((100*'Eingabe - Input'!$M$59)^2)/8*(1/(1+'Schnittgrößen (g,T)'!$C$11))*(1-(8*'Schnittgrößen (g,T)'!$C$14/('Schnittgrößen (g,T)'!$C$13^2)))</f>
        <v>-0.41615603694995773</v>
      </c>
    </row>
    <row r="66" spans="2:8" ht="15.75">
      <c r="C66" s="61" t="s">
        <v>193</v>
      </c>
      <c r="D66" s="91">
        <f>H66</f>
        <v>-0.41615603694995773</v>
      </c>
      <c r="E66" s="60" t="s">
        <v>103</v>
      </c>
      <c r="H66" s="96">
        <f>H65</f>
        <v>-0.41615603694995773</v>
      </c>
    </row>
    <row r="67" spans="2:8" ht="15.75">
      <c r="B67" s="93" t="s">
        <v>198</v>
      </c>
      <c r="C67" s="87" t="s">
        <v>196</v>
      </c>
      <c r="D67" s="94">
        <f>H67</f>
        <v>0.5</v>
      </c>
      <c r="E67" s="70" t="s">
        <v>108</v>
      </c>
      <c r="H67" s="95">
        <v>0.5</v>
      </c>
    </row>
  </sheetData>
  <dataConsolidate function="max"/>
  <mergeCells count="1">
    <mergeCell ref="L12:L32"/>
  </mergeCells>
  <pageMargins left="0.7" right="0.7" top="0.78740157499999996" bottom="0.78740157499999996" header="0.3" footer="0.3"/>
  <pageSetup paperSize="9" scale="51" orientation="portrait" r:id="rId1"/>
  <colBreaks count="2" manualBreakCount="2">
    <brk id="7" max="59" man="1"/>
    <brk id="10" max="59" man="1"/>
  </colBreaks>
  <drawing r:id="rId2"/>
  <legacyDrawing r:id="rId3"/>
  <oleObjects>
    <mc:AlternateContent xmlns:mc="http://schemas.openxmlformats.org/markup-compatibility/2006">
      <mc:Choice Requires="x14">
        <oleObject progId="Equation.3" shapeId="11269" r:id="rId4">
          <objectPr defaultSize="0" autoPict="0" r:id="rId5">
            <anchor moveWithCells="1">
              <from>
                <xdr:col>1</xdr:col>
                <xdr:colOff>381000</xdr:colOff>
                <xdr:row>4</xdr:row>
                <xdr:rowOff>57150</xdr:rowOff>
              </from>
              <to>
                <xdr:col>1</xdr:col>
                <xdr:colOff>542925</xdr:colOff>
                <xdr:row>6</xdr:row>
                <xdr:rowOff>38100</xdr:rowOff>
              </to>
            </anchor>
          </objectPr>
        </oleObject>
      </mc:Choice>
      <mc:Fallback>
        <oleObject progId="Equation.3" shapeId="11269" r:id="rId4"/>
      </mc:Fallback>
    </mc:AlternateContent>
    <mc:AlternateContent xmlns:mc="http://schemas.openxmlformats.org/markup-compatibility/2006">
      <mc:Choice Requires="x14">
        <oleObject progId="Equation.3" shapeId="11270" r:id="rId6">
          <objectPr defaultSize="0" autoPict="0" r:id="rId7">
            <anchor moveWithCells="1">
              <from>
                <xdr:col>1</xdr:col>
                <xdr:colOff>323850</xdr:colOff>
                <xdr:row>6</xdr:row>
                <xdr:rowOff>0</xdr:rowOff>
              </from>
              <to>
                <xdr:col>1</xdr:col>
                <xdr:colOff>552450</xdr:colOff>
                <xdr:row>7</xdr:row>
                <xdr:rowOff>95250</xdr:rowOff>
              </to>
            </anchor>
          </objectPr>
        </oleObject>
      </mc:Choice>
      <mc:Fallback>
        <oleObject progId="Equation.3" shapeId="11270" r:id="rId6"/>
      </mc:Fallback>
    </mc:AlternateContent>
    <mc:AlternateContent xmlns:mc="http://schemas.openxmlformats.org/markup-compatibility/2006">
      <mc:Choice Requires="x14">
        <oleObject progId="Equation.3" shapeId="11271" r:id="rId8">
          <objectPr defaultSize="0" autoPict="0" r:id="rId9">
            <anchor moveWithCells="1">
              <from>
                <xdr:col>1</xdr:col>
                <xdr:colOff>333375</xdr:colOff>
                <xdr:row>7</xdr:row>
                <xdr:rowOff>95250</xdr:rowOff>
              </from>
              <to>
                <xdr:col>1</xdr:col>
                <xdr:colOff>542925</xdr:colOff>
                <xdr:row>9</xdr:row>
                <xdr:rowOff>9525</xdr:rowOff>
              </to>
            </anchor>
          </objectPr>
        </oleObject>
      </mc:Choice>
      <mc:Fallback>
        <oleObject progId="Equation.3" shapeId="11271" r:id="rId8"/>
      </mc:Fallback>
    </mc:AlternateContent>
    <mc:AlternateContent xmlns:mc="http://schemas.openxmlformats.org/markup-compatibility/2006">
      <mc:Choice Requires="x14">
        <oleObject progId="Equation.3" shapeId="11276" r:id="rId10">
          <objectPr defaultSize="0" autoPict="0" r:id="rId11">
            <anchor moveWithCells="1">
              <from>
                <xdr:col>1</xdr:col>
                <xdr:colOff>314325</xdr:colOff>
                <xdr:row>9</xdr:row>
                <xdr:rowOff>28575</xdr:rowOff>
              </from>
              <to>
                <xdr:col>1</xdr:col>
                <xdr:colOff>571500</xdr:colOff>
                <xdr:row>10</xdr:row>
                <xdr:rowOff>152400</xdr:rowOff>
              </to>
            </anchor>
          </objectPr>
        </oleObject>
      </mc:Choice>
      <mc:Fallback>
        <oleObject progId="Equation.3" shapeId="11276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Eingabe - Input</vt:lpstr>
      <vt:lpstr>Ausgabe - Output</vt:lpstr>
      <vt:lpstr>Schnittgrößen (g,T)</vt:lpstr>
      <vt:lpstr>Schnittgrößen (gt)</vt:lpstr>
      <vt:lpstr>Schnittgrößen (st)</vt:lpstr>
      <vt:lpstr>eben - flat Schnittgrößen (g,T)</vt:lpstr>
      <vt:lpstr>eben - flat Schnittgrößen (gt)</vt:lpstr>
      <vt:lpstr>eben - flat Schnittgrößen (st)</vt:lpstr>
      <vt:lpstr>Durchbiegung (g+T)</vt:lpstr>
      <vt:lpstr>Durchbiegung (gt)</vt:lpstr>
      <vt:lpstr>Durchbiegung (st)</vt:lpstr>
      <vt:lpstr>'Ausgabe - Output'!Druckbereich</vt:lpstr>
      <vt:lpstr>'Durchbiegung (g+T)'!Druckbereich</vt:lpstr>
      <vt:lpstr>'Durchbiegung (gt)'!Druckbereich</vt:lpstr>
      <vt:lpstr>'Durchbiegung (st)'!Druckbereich</vt:lpstr>
      <vt:lpstr>'Eingabe - Input'!Druckbereich</vt:lpstr>
      <vt:lpstr>'Schnittgrößen (g,T)'!Druckbereich</vt:lpstr>
      <vt:lpstr>'Schnittgrößen (gt)'!Druckbereich</vt:lpstr>
      <vt:lpstr>'Schnittgrößen (st)'!Druckbereich</vt:lpstr>
      <vt:lpstr>'Ausgabe - Output'!Drucktitel</vt:lpstr>
      <vt:lpstr>'Eingabe - Input'!Drucktitel</vt:lpstr>
    </vt:vector>
  </TitlesOfParts>
  <Company>iS-mainz iS-engeneering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Raabe;achim.berner@sandwichtechnik.com</dc:creator>
  <cp:lastModifiedBy>Achim Berner</cp:lastModifiedBy>
  <cp:lastPrinted>2011-12-14T10:30:54Z</cp:lastPrinted>
  <dcterms:created xsi:type="dcterms:W3CDTF">2000-10-16T06:36:59Z</dcterms:created>
  <dcterms:modified xsi:type="dcterms:W3CDTF">2011-12-16T13:42:42Z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